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willemklinker/Documents/01 YouTube NEW/96 Prolongation Cost Calculator RB17/"/>
    </mc:Choice>
  </mc:AlternateContent>
  <xr:revisionPtr revIDLastSave="0" documentId="13_ncr:1_{51EBB85F-1254-2547-AC6D-F17AF0ED9407}" xr6:coauthVersionLast="47" xr6:coauthVersionMax="47" xr10:uidLastSave="{00000000-0000-0000-0000-000000000000}"/>
  <bookViews>
    <workbookView xWindow="2460" yWindow="500" windowWidth="23380" windowHeight="17800" tabRatio="500" activeTab="2" xr2:uid="{00000000-000D-0000-FFFF-FFFF00000000}"/>
  </bookViews>
  <sheets>
    <sheet name="Instructions" sheetId="1" r:id="rId1"/>
    <sheet name="Inputs" sheetId="2" r:id="rId2"/>
    <sheet name="Summary" sheetId="3" r:id="rId3"/>
    <sheet name="Site_Costs" sheetId="4" r:id="rId4"/>
    <sheet name="Insurance_Bonds" sheetId="5" r:id="rId5"/>
    <sheet name="Head_Office" sheetId="6" r:id="rId6"/>
    <sheet name="Financing" sheetId="7" r:id="rId7"/>
    <sheet name="Escalation" sheetId="8" r:id="rId8"/>
    <sheet name="Other_Costs" sheetId="9" r:id="rId9"/>
    <sheet name="Compliance" sheetId="10" r:id="rId10"/>
    <sheet name="Lists" sheetId="11" r:id="rId1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" i="11" l="1"/>
  <c r="C33" i="10"/>
  <c r="C11" i="10"/>
  <c r="C13" i="10" s="1"/>
  <c r="C9" i="10"/>
  <c r="C7" i="10"/>
  <c r="A2" i="10"/>
  <c r="D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31" i="9" s="1"/>
  <c r="D20" i="3" s="1"/>
  <c r="A2" i="9"/>
  <c r="I20" i="8"/>
  <c r="E20" i="8"/>
  <c r="E19" i="8"/>
  <c r="I19" i="8" s="1"/>
  <c r="I18" i="8"/>
  <c r="E18" i="8"/>
  <c r="E17" i="8"/>
  <c r="I17" i="8" s="1"/>
  <c r="I16" i="8"/>
  <c r="E16" i="8"/>
  <c r="E15" i="8"/>
  <c r="I15" i="8" s="1"/>
  <c r="I14" i="8"/>
  <c r="E14" i="8"/>
  <c r="E13" i="8"/>
  <c r="I13" i="8" s="1"/>
  <c r="I12" i="8"/>
  <c r="E12" i="8"/>
  <c r="E11" i="8"/>
  <c r="I11" i="8" s="1"/>
  <c r="I10" i="8"/>
  <c r="E10" i="8"/>
  <c r="E9" i="8"/>
  <c r="I9" i="8" s="1"/>
  <c r="I8" i="8"/>
  <c r="E8" i="8"/>
  <c r="E7" i="8"/>
  <c r="I7" i="8" s="1"/>
  <c r="I6" i="8"/>
  <c r="E6" i="8"/>
  <c r="A2" i="8"/>
  <c r="H25" i="7"/>
  <c r="J25" i="7" s="1"/>
  <c r="F25" i="7"/>
  <c r="F24" i="7"/>
  <c r="H24" i="7" s="1"/>
  <c r="J24" i="7" s="1"/>
  <c r="F23" i="7"/>
  <c r="H23" i="7" s="1"/>
  <c r="J23" i="7" s="1"/>
  <c r="J22" i="7"/>
  <c r="H22" i="7"/>
  <c r="F22" i="7"/>
  <c r="H21" i="7"/>
  <c r="J21" i="7" s="1"/>
  <c r="F21" i="7"/>
  <c r="F20" i="7"/>
  <c r="H20" i="7" s="1"/>
  <c r="J20" i="7" s="1"/>
  <c r="F19" i="7"/>
  <c r="H19" i="7" s="1"/>
  <c r="J19" i="7" s="1"/>
  <c r="J18" i="7"/>
  <c r="H18" i="7"/>
  <c r="F18" i="7"/>
  <c r="H17" i="7"/>
  <c r="J17" i="7" s="1"/>
  <c r="F17" i="7"/>
  <c r="F16" i="7"/>
  <c r="H16" i="7" s="1"/>
  <c r="H10" i="7"/>
  <c r="J10" i="7" s="1"/>
  <c r="F10" i="7"/>
  <c r="F9" i="7"/>
  <c r="H9" i="7" s="1"/>
  <c r="J9" i="7" s="1"/>
  <c r="F8" i="7"/>
  <c r="H8" i="7" s="1"/>
  <c r="J8" i="7" s="1"/>
  <c r="J7" i="7"/>
  <c r="H7" i="7"/>
  <c r="F7" i="7"/>
  <c r="H6" i="7"/>
  <c r="J6" i="7" s="1"/>
  <c r="F6" i="7"/>
  <c r="A2" i="7"/>
  <c r="C40" i="6"/>
  <c r="C38" i="6"/>
  <c r="C33" i="6"/>
  <c r="C24" i="6"/>
  <c r="I19" i="6"/>
  <c r="J19" i="6" s="1"/>
  <c r="L19" i="6" s="1"/>
  <c r="H19" i="6"/>
  <c r="I18" i="6"/>
  <c r="J18" i="6" s="1"/>
  <c r="L18" i="6" s="1"/>
  <c r="H18" i="6"/>
  <c r="I17" i="6"/>
  <c r="J17" i="6" s="1"/>
  <c r="L17" i="6" s="1"/>
  <c r="H17" i="6"/>
  <c r="I16" i="6"/>
  <c r="J16" i="6" s="1"/>
  <c r="L16" i="6" s="1"/>
  <c r="H16" i="6"/>
  <c r="I15" i="6"/>
  <c r="J15" i="6" s="1"/>
  <c r="L15" i="6" s="1"/>
  <c r="H15" i="6"/>
  <c r="I14" i="6"/>
  <c r="J14" i="6" s="1"/>
  <c r="L14" i="6" s="1"/>
  <c r="H14" i="6"/>
  <c r="I13" i="6"/>
  <c r="J13" i="6" s="1"/>
  <c r="L13" i="6" s="1"/>
  <c r="H13" i="6"/>
  <c r="I12" i="6"/>
  <c r="J12" i="6" s="1"/>
  <c r="L12" i="6" s="1"/>
  <c r="H12" i="6"/>
  <c r="I11" i="6"/>
  <c r="J11" i="6" s="1"/>
  <c r="L11" i="6" s="1"/>
  <c r="H11" i="6"/>
  <c r="F10" i="6"/>
  <c r="A2" i="6"/>
  <c r="L25" i="5"/>
  <c r="J25" i="5"/>
  <c r="H25" i="5"/>
  <c r="G25" i="5"/>
  <c r="L24" i="5"/>
  <c r="J24" i="5"/>
  <c r="H24" i="5"/>
  <c r="G24" i="5"/>
  <c r="L23" i="5"/>
  <c r="J23" i="5"/>
  <c r="H23" i="5"/>
  <c r="G23" i="5"/>
  <c r="L22" i="5"/>
  <c r="J22" i="5"/>
  <c r="H22" i="5"/>
  <c r="G22" i="5"/>
  <c r="L21" i="5"/>
  <c r="J21" i="5"/>
  <c r="H21" i="5"/>
  <c r="G21" i="5"/>
  <c r="L20" i="5"/>
  <c r="J20" i="5"/>
  <c r="H20" i="5"/>
  <c r="G20" i="5"/>
  <c r="L19" i="5"/>
  <c r="J19" i="5"/>
  <c r="H19" i="5"/>
  <c r="G19" i="5"/>
  <c r="L18" i="5"/>
  <c r="J18" i="5"/>
  <c r="H18" i="5"/>
  <c r="G18" i="5"/>
  <c r="L17" i="5"/>
  <c r="J17" i="5"/>
  <c r="H17" i="5"/>
  <c r="G17" i="5"/>
  <c r="L16" i="5"/>
  <c r="J16" i="5"/>
  <c r="H16" i="5"/>
  <c r="G16" i="5"/>
  <c r="L15" i="5"/>
  <c r="J15" i="5"/>
  <c r="H15" i="5"/>
  <c r="G15" i="5"/>
  <c r="L14" i="5"/>
  <c r="J14" i="5"/>
  <c r="H14" i="5"/>
  <c r="G14" i="5"/>
  <c r="L13" i="5"/>
  <c r="J13" i="5"/>
  <c r="H13" i="5"/>
  <c r="G13" i="5"/>
  <c r="L12" i="5"/>
  <c r="J12" i="5"/>
  <c r="H12" i="5"/>
  <c r="G12" i="5"/>
  <c r="L11" i="5"/>
  <c r="J11" i="5"/>
  <c r="H11" i="5"/>
  <c r="G11" i="5"/>
  <c r="L10" i="5"/>
  <c r="J10" i="5"/>
  <c r="H10" i="5"/>
  <c r="G10" i="5"/>
  <c r="L9" i="5"/>
  <c r="J9" i="5"/>
  <c r="H9" i="5"/>
  <c r="G9" i="5"/>
  <c r="L8" i="5"/>
  <c r="J8" i="5"/>
  <c r="H8" i="5"/>
  <c r="G8" i="5"/>
  <c r="L7" i="5"/>
  <c r="J7" i="5"/>
  <c r="H7" i="5"/>
  <c r="G7" i="5"/>
  <c r="G6" i="5"/>
  <c r="H6" i="5" s="1"/>
  <c r="A2" i="5"/>
  <c r="K45" i="4"/>
  <c r="M45" i="4" s="1"/>
  <c r="J45" i="4"/>
  <c r="I45" i="4"/>
  <c r="K44" i="4"/>
  <c r="M44" i="4" s="1"/>
  <c r="J44" i="4"/>
  <c r="I44" i="4"/>
  <c r="K43" i="4"/>
  <c r="M43" i="4" s="1"/>
  <c r="J43" i="4"/>
  <c r="I43" i="4"/>
  <c r="J42" i="4"/>
  <c r="K42" i="4" s="1"/>
  <c r="M42" i="4" s="1"/>
  <c r="I42" i="4"/>
  <c r="J41" i="4"/>
  <c r="K41" i="4" s="1"/>
  <c r="M41" i="4" s="1"/>
  <c r="I41" i="4"/>
  <c r="K40" i="4"/>
  <c r="M40" i="4" s="1"/>
  <c r="J40" i="4"/>
  <c r="I40" i="4"/>
  <c r="K39" i="4"/>
  <c r="M39" i="4" s="1"/>
  <c r="J39" i="4"/>
  <c r="I39" i="4"/>
  <c r="J38" i="4"/>
  <c r="K38" i="4" s="1"/>
  <c r="M38" i="4" s="1"/>
  <c r="I38" i="4"/>
  <c r="J37" i="4"/>
  <c r="K37" i="4" s="1"/>
  <c r="M37" i="4" s="1"/>
  <c r="I37" i="4"/>
  <c r="K36" i="4"/>
  <c r="M36" i="4" s="1"/>
  <c r="J36" i="4"/>
  <c r="I36" i="4"/>
  <c r="K35" i="4"/>
  <c r="M35" i="4" s="1"/>
  <c r="J35" i="4"/>
  <c r="I35" i="4"/>
  <c r="J34" i="4"/>
  <c r="K34" i="4" s="1"/>
  <c r="M34" i="4" s="1"/>
  <c r="I34" i="4"/>
  <c r="J33" i="4"/>
  <c r="K33" i="4" s="1"/>
  <c r="M33" i="4" s="1"/>
  <c r="I33" i="4"/>
  <c r="K32" i="4"/>
  <c r="M32" i="4" s="1"/>
  <c r="J32" i="4"/>
  <c r="I32" i="4"/>
  <c r="K31" i="4"/>
  <c r="M31" i="4" s="1"/>
  <c r="J31" i="4"/>
  <c r="I31" i="4"/>
  <c r="J30" i="4"/>
  <c r="K30" i="4" s="1"/>
  <c r="M30" i="4" s="1"/>
  <c r="I30" i="4"/>
  <c r="J29" i="4"/>
  <c r="K29" i="4" s="1"/>
  <c r="M29" i="4" s="1"/>
  <c r="I29" i="4"/>
  <c r="K28" i="4"/>
  <c r="M28" i="4" s="1"/>
  <c r="J28" i="4"/>
  <c r="I28" i="4"/>
  <c r="M27" i="4"/>
  <c r="K27" i="4"/>
  <c r="J27" i="4"/>
  <c r="I27" i="4"/>
  <c r="M26" i="4"/>
  <c r="K26" i="4"/>
  <c r="J26" i="4"/>
  <c r="I26" i="4"/>
  <c r="M25" i="4"/>
  <c r="K25" i="4"/>
  <c r="J25" i="4"/>
  <c r="I25" i="4"/>
  <c r="M24" i="4"/>
  <c r="K24" i="4"/>
  <c r="J24" i="4"/>
  <c r="I24" i="4"/>
  <c r="M23" i="4"/>
  <c r="K23" i="4"/>
  <c r="J23" i="4"/>
  <c r="I23" i="4"/>
  <c r="M22" i="4"/>
  <c r="K22" i="4"/>
  <c r="J22" i="4"/>
  <c r="I22" i="4"/>
  <c r="M21" i="4"/>
  <c r="K21" i="4"/>
  <c r="J21" i="4"/>
  <c r="I21" i="4"/>
  <c r="M20" i="4"/>
  <c r="K20" i="4"/>
  <c r="J20" i="4"/>
  <c r="I20" i="4"/>
  <c r="M19" i="4"/>
  <c r="K19" i="4"/>
  <c r="J19" i="4"/>
  <c r="I19" i="4"/>
  <c r="M18" i="4"/>
  <c r="K18" i="4"/>
  <c r="J18" i="4"/>
  <c r="I18" i="4"/>
  <c r="M17" i="4"/>
  <c r="K17" i="4"/>
  <c r="J17" i="4"/>
  <c r="I17" i="4"/>
  <c r="M16" i="4"/>
  <c r="K16" i="4"/>
  <c r="J16" i="4"/>
  <c r="I16" i="4"/>
  <c r="M15" i="4"/>
  <c r="K15" i="4"/>
  <c r="J15" i="4"/>
  <c r="I15" i="4"/>
  <c r="M14" i="4"/>
  <c r="K14" i="4"/>
  <c r="J14" i="4"/>
  <c r="I14" i="4"/>
  <c r="M13" i="4"/>
  <c r="K13" i="4"/>
  <c r="J13" i="4"/>
  <c r="I13" i="4"/>
  <c r="M12" i="4"/>
  <c r="K12" i="4"/>
  <c r="J12" i="4"/>
  <c r="I12" i="4"/>
  <c r="M11" i="4"/>
  <c r="K11" i="4"/>
  <c r="J11" i="4"/>
  <c r="I11" i="4"/>
  <c r="M10" i="4"/>
  <c r="K10" i="4"/>
  <c r="J10" i="4"/>
  <c r="I10" i="4"/>
  <c r="G9" i="4"/>
  <c r="G7" i="4"/>
  <c r="A2" i="4"/>
  <c r="D35" i="3"/>
  <c r="D32" i="3"/>
  <c r="D30" i="3"/>
  <c r="D25" i="3"/>
  <c r="D23" i="3"/>
  <c r="B17" i="3"/>
  <c r="D14" i="3"/>
  <c r="B14" i="3"/>
  <c r="B13" i="3"/>
  <c r="D13" i="3" s="1"/>
  <c r="H12" i="3"/>
  <c r="B12" i="3"/>
  <c r="D12" i="3" s="1"/>
  <c r="B11" i="3"/>
  <c r="B10" i="3"/>
  <c r="B9" i="3"/>
  <c r="B8" i="3"/>
  <c r="A4" i="3"/>
  <c r="A2" i="3"/>
  <c r="C26" i="2"/>
  <c r="C25" i="6" s="1"/>
  <c r="C24" i="2"/>
  <c r="G10" i="6" s="1"/>
  <c r="C23" i="2"/>
  <c r="G8" i="4" s="1"/>
  <c r="C22" i="2"/>
  <c r="H6" i="4" l="1"/>
  <c r="H10" i="6"/>
  <c r="I10" i="6" s="1"/>
  <c r="J10" i="6" s="1"/>
  <c r="C14" i="10"/>
  <c r="H8" i="4"/>
  <c r="I8" i="4" s="1"/>
  <c r="J8" i="4" s="1"/>
  <c r="K8" i="4" s="1"/>
  <c r="M8" i="4" s="1"/>
  <c r="D10" i="3" s="1"/>
  <c r="I9" i="4"/>
  <c r="J9" i="4" s="1"/>
  <c r="K9" i="4" s="1"/>
  <c r="M9" i="4" s="1"/>
  <c r="D11" i="3" s="1"/>
  <c r="H26" i="5"/>
  <c r="J6" i="5"/>
  <c r="I21" i="8"/>
  <c r="D19" i="3" s="1"/>
  <c r="H9" i="4"/>
  <c r="J11" i="7"/>
  <c r="J29" i="7" s="1"/>
  <c r="D18" i="3" s="1"/>
  <c r="H26" i="7"/>
  <c r="J16" i="7"/>
  <c r="J26" i="7" s="1"/>
  <c r="C25" i="2"/>
  <c r="H7" i="4"/>
  <c r="I7" i="4" s="1"/>
  <c r="J7" i="4" s="1"/>
  <c r="K7" i="4" s="1"/>
  <c r="M7" i="4" s="1"/>
  <c r="D8" i="3" s="1"/>
  <c r="H11" i="7"/>
  <c r="E21" i="8"/>
  <c r="G6" i="4"/>
  <c r="I6" i="4" s="1"/>
  <c r="J6" i="4" s="1"/>
  <c r="K6" i="4" s="1"/>
  <c r="H11" i="3" l="1"/>
  <c r="L10" i="6"/>
  <c r="L20" i="6" s="1"/>
  <c r="C45" i="6" s="1"/>
  <c r="C46" i="6" s="1"/>
  <c r="C47" i="6" s="1"/>
  <c r="D17" i="3" s="1"/>
  <c r="J20" i="6"/>
  <c r="H10" i="3"/>
  <c r="J26" i="5"/>
  <c r="L6" i="5"/>
  <c r="L26" i="5" s="1"/>
  <c r="D16" i="3" s="1"/>
  <c r="K46" i="4"/>
  <c r="M6" i="4"/>
  <c r="C26" i="6"/>
  <c r="D31" i="3"/>
  <c r="D34" i="3"/>
  <c r="D36" i="3"/>
  <c r="H8" i="3" l="1"/>
  <c r="C34" i="6"/>
  <c r="C29" i="6"/>
  <c r="C39" i="6"/>
  <c r="C41" i="6" s="1"/>
  <c r="C42" i="6" s="1"/>
  <c r="H9" i="3"/>
  <c r="M46" i="4"/>
  <c r="D9" i="3"/>
  <c r="D15" i="3" l="1"/>
  <c r="D21" i="3" l="1"/>
  <c r="H7" i="3"/>
  <c r="E15" i="3"/>
  <c r="E20" i="3" l="1"/>
  <c r="D22" i="3"/>
  <c r="D24" i="3" s="1"/>
  <c r="D26" i="3" s="1"/>
  <c r="D33" i="3" s="1"/>
  <c r="E12" i="3"/>
  <c r="E13" i="3"/>
  <c r="E14" i="3"/>
  <c r="E8" i="3"/>
  <c r="E19" i="3"/>
  <c r="E18" i="3"/>
  <c r="E10" i="3"/>
  <c r="E11" i="3"/>
  <c r="E16" i="3"/>
  <c r="E17" i="3"/>
  <c r="E9" i="3"/>
</calcChain>
</file>

<file path=xl/sharedStrings.xml><?xml version="1.0" encoding="utf-8"?>
<sst xmlns="http://schemas.openxmlformats.org/spreadsheetml/2006/main" count="388" uniqueCount="287">
  <si>
    <t>Prolongation Cost Calculator</t>
  </si>
  <si>
    <t>Based on the Prolongation Cost Calculator Guidelines – FIDIC Red Book 2017 (Second Edition), unamended General Conditions.</t>
  </si>
  <si>
    <t>How to use</t>
  </si>
  <si>
    <t>1. Inputs: enter project data, entitlement type, profit %, dates, EOT days and toggles.</t>
  </si>
  <si>
    <t>2. Complete the cost sheets: Site_Costs, Insurance_Bonds, Head_Office, Financing, Escalation, Other_Costs (one line per item).</t>
  </si>
  <si>
    <t>3. Compliance: record the Sub-Clause 20.2 dates and tick off the evidence checklist.</t>
  </si>
  <si>
    <t>4. Summary: review the reconciliation from gross Cost to the total claim. Zero formula errors are expected; empty rows show "-".</t>
  </si>
  <si>
    <t>Colour code</t>
  </si>
  <si>
    <t>Blue on yellow = input cell you may edit</t>
  </si>
  <si>
    <t>Black = formula (do not overwrite)</t>
  </si>
  <si>
    <t>Green = link to another sheet (overwrite only if you deliberately want a different value)</t>
  </si>
  <si>
    <t>Example data</t>
  </si>
  <si>
    <t>The workbook is pre-filled with the Guidelines worked examples, marked EXAMPLE: site costs total 33,000.00 (15 days × 2,200) and retention financing is 7,397.26 (500,000 × 6% × 90/365). Overwrite or clear the example rows before use.</t>
  </si>
  <si>
    <t>Key rules built into the formulas</t>
  </si>
  <si>
    <t>• Claimed amount = quantity × rate × periods × attributable %. Only the incremental, delay-caused share should be claimed.</t>
  </si>
  <si>
    <t>• Cost periods are entered per line and need not equal the EOT days (Guidelines s.4).</t>
  </si>
  <si>
    <t>• Insurance/guarantees: an actual endorsement amount overrides the pro-rata estimate.</t>
  </si>
  <si>
    <t>• Head office: choose one method; actual additional expenditure is the default. Hudson, Emden and Eichleay are comparisons only.</t>
  </si>
  <si>
    <t>• Escalation is zero where the price risk lies with the Contractor; amounts already adjusted are deducted.</t>
  </si>
  <si>
    <t>• Summary deducts concurrent-delay reduction and amounts already paid, then adds profit only for Cost Plus Profit.</t>
  </si>
  <si>
    <t>• Disruption and acceleration are NOT included – quantify them separately (Guidelines s.3).</t>
  </si>
  <si>
    <t>Important</t>
  </si>
  <si>
    <t>This is a calculation aid, not legal advice. Entitlement, time limits, profit % and recoverable heads depend on the Particular Conditions, Contract Data and governing law. Verify against the executed contract.</t>
  </si>
  <si>
    <t>Inputs – project, entitlement and time data</t>
  </si>
  <si>
    <t>Blue text on yellow = cells you edit. Black = formulas. Green = links from other sheets.</t>
  </si>
  <si>
    <t>A. Project details</t>
  </si>
  <si>
    <t>Project name</t>
  </si>
  <si>
    <t>Example Power Plant – Package 3</t>
  </si>
  <si>
    <t>Contractor</t>
  </si>
  <si>
    <t>Contractor Ltd</t>
  </si>
  <si>
    <t>Employer</t>
  </si>
  <si>
    <t>Employer Authority</t>
  </si>
  <si>
    <t>Claim reference</t>
  </si>
  <si>
    <t>CLAIM-EOT-007</t>
  </si>
  <si>
    <t>Delay event description</t>
  </si>
  <si>
    <t>Late access to Area B (Site)</t>
  </si>
  <si>
    <t>Entitlement Sub-Clause(s)</t>
  </si>
  <si>
    <t>2.1 / 8.4 / 20.2</t>
  </si>
  <si>
    <t>Sub-Clause(s) granting EOT and payment. Check the Particular Conditions.</t>
  </si>
  <si>
    <t>Currency</t>
  </si>
  <si>
    <t>EUR</t>
  </si>
  <si>
    <t>B. Entitlement basis</t>
  </si>
  <si>
    <t>Entitlement type</t>
  </si>
  <si>
    <t>Cost</t>
  </si>
  <si>
    <t>EOT only = no payment; Cost = Cost excl. profit; Cost Plus Profit = Cost + profit % (Sub-Clause 1.1 and the entitlement Sub-Clause).</t>
  </si>
  <si>
    <t>Profit % (Contract Data)</t>
  </si>
  <si>
    <t>Percentage stated in the Contract Data; 5% applies under the General Conditions if none is stated.</t>
  </si>
  <si>
    <t>Day-count basis for annualised costs (days/year)</t>
  </si>
  <si>
    <t>Used for interest, premiums and monthly rates.</t>
  </si>
  <si>
    <t>C. Time data</t>
  </si>
  <si>
    <t>Commencement Date</t>
  </si>
  <si>
    <t>Original Time for Completion</t>
  </si>
  <si>
    <t>EOT days claimed / determined</t>
  </si>
  <si>
    <t>From the delay analysis (Sub-Clause 8.4). EOT days do not automatically equal cost days.</t>
  </si>
  <si>
    <t>Revised Time for Completion</t>
  </si>
  <si>
    <t>Prolongation period start</t>
  </si>
  <si>
    <t>Default = day after original completion. Overwrite if costs were incurred in a different period (see Guidelines s.4).</t>
  </si>
  <si>
    <t>Prolongation period end</t>
  </si>
  <si>
    <t>Prolongation days</t>
  </si>
  <si>
    <t>Original contract period (days)</t>
  </si>
  <si>
    <t>Contract Price</t>
  </si>
  <si>
    <t>Used only for the Hudson / Emden head-office formulae.</t>
  </si>
  <si>
    <t>D. Adjustments and toggles</t>
  </si>
  <si>
    <t>Reduction for Contractor-responsible / concurrent delay (%)</t>
  </si>
  <si>
    <t>Applied to gross Cost on the Summary. Set after the delay analysis.</t>
  </si>
  <si>
    <t>Include head-office overheads?</t>
  </si>
  <si>
    <t>Yes</t>
  </si>
  <si>
    <t>Include financing costs?</t>
  </si>
  <si>
    <t>Include escalation?</t>
  </si>
  <si>
    <t>Amounts already paid / reimbursed (Variations etc.)</t>
  </si>
  <si>
    <t>Deducted on the Summary to prevent double recovery.</t>
  </si>
  <si>
    <t>Prolongation Cost Summary</t>
  </si>
  <si>
    <t>All figures flow from the input sheets. Cost heads before adjustments, then reconciliation to the total claim (Guidelines s.5–6).</t>
  </si>
  <si>
    <t>Cost head</t>
  </si>
  <si>
    <t>Source</t>
  </si>
  <si>
    <t>Amount</t>
  </si>
  <si>
    <t>% of gross Cost</t>
  </si>
  <si>
    <t>Chart data</t>
  </si>
  <si>
    <t>A. Site establishment &amp; time-related costs</t>
  </si>
  <si>
    <t>Site time-related</t>
  </si>
  <si>
    <t>Site_Costs</t>
  </si>
  <si>
    <t>Insurance &amp; bonds</t>
  </si>
  <si>
    <t>Head office</t>
  </si>
  <si>
    <t>Financing</t>
  </si>
  <si>
    <t>Escalation</t>
  </si>
  <si>
    <t>Subcontractor &amp; other</t>
  </si>
  <si>
    <t>Subtotal A – Site establishment &amp; time-related</t>
  </si>
  <si>
    <t>B. Insurance, bonds &amp; guarantees</t>
  </si>
  <si>
    <t>Insurance_Bonds</t>
  </si>
  <si>
    <t>Head_Office</t>
  </si>
  <si>
    <t>D. Financing costs</t>
  </si>
  <si>
    <t>E. Escalation</t>
  </si>
  <si>
    <t>F. Subcontractor &amp; other event-specific costs</t>
  </si>
  <si>
    <t>Other_Costs</t>
  </si>
  <si>
    <t>Gross Cost before adjustments</t>
  </si>
  <si>
    <t>Less: reduction for Contractor-responsible / concurrent delay</t>
  </si>
  <si>
    <t>Inputs C30</t>
  </si>
  <si>
    <t>Less: amounts already paid / reimbursed</t>
  </si>
  <si>
    <t>Inputs C34</t>
  </si>
  <si>
    <t>Net recoverable Cost</t>
  </si>
  <si>
    <t>Add: profit (only if entitlement = Cost Plus Profit)</t>
  </si>
  <si>
    <t>Inputs C14–C15</t>
  </si>
  <si>
    <t>TOTAL PROLONGATION CLAIM</t>
  </si>
  <si>
    <t>Key indicators</t>
  </si>
  <si>
    <t>EOT days claimed</t>
  </si>
  <si>
    <t>Average total claim per prolongation day</t>
  </si>
  <si>
    <t>Sub-Clause 20.2 procedural timing</t>
  </si>
  <si>
    <t>Evidence checklist completeness</t>
  </si>
  <si>
    <t>Automatic warning</t>
  </si>
  <si>
    <t>Site establishment &amp; time-related costs (Guidelines s.2.1–2.2)</t>
  </si>
  <si>
    <t>Enter one line per cost item. Rate basis Lump sum: enter the amount as Rate and 1 as Qty. Attributable % = share of the cost that is genuinely incremental because of the compensable delay.</t>
  </si>
  <si>
    <t>#</t>
  </si>
  <si>
    <t>Category</t>
  </si>
  <si>
    <t>Description</t>
  </si>
  <si>
    <t>Rate basis</t>
  </si>
  <si>
    <t>Qty (nr)</t>
  </si>
  <si>
    <t>Rate per period</t>
  </si>
  <si>
    <t>Start date</t>
  </si>
  <si>
    <t>End date</t>
  </si>
  <si>
    <t>Days</t>
  </si>
  <si>
    <t>Periods</t>
  </si>
  <si>
    <t>Gross cost</t>
  </si>
  <si>
    <t>Attributable %</t>
  </si>
  <si>
    <t>Claimed</t>
  </si>
  <si>
    <t>Evidence ref</t>
  </si>
  <si>
    <t>Notes / mitigation</t>
  </si>
  <si>
    <t>Site management &amp; supervision</t>
  </si>
  <si>
    <t>Site management team (PM, CM, engineers)</t>
  </si>
  <si>
    <t>Day</t>
  </si>
  <si>
    <t>Payroll, timesheets</t>
  </si>
  <si>
    <t>EXAMPLE – overwrite or delete</t>
  </si>
  <si>
    <t>Site accommodation &amp; facilities</t>
  </si>
  <si>
    <t>Site facilities and utilities</t>
  </si>
  <si>
    <t>Rental invoices, utility bills</t>
  </si>
  <si>
    <t>Site services &amp; operating expenses</t>
  </si>
  <si>
    <t>Security and site services</t>
  </si>
  <si>
    <t>Security contract, invoices</t>
  </si>
  <si>
    <t>Hired plant &amp; equipment</t>
  </si>
  <si>
    <t>Equipment hire (crane)</t>
  </si>
  <si>
    <t>Hire invoices, delivery notes</t>
  </si>
  <si>
    <t>Total</t>
  </si>
  <si>
    <t>Insurance, bonds &amp; guarantees (Guidelines s.2.3)</t>
  </si>
  <si>
    <t>Claim only the INCREMENTAL cost of the extension. If you hold the actual endorsement / bank advice amount, enter it in column I – it overrides the pro-rata estimate.</t>
  </si>
  <si>
    <t>Type</t>
  </si>
  <si>
    <t>Description / provider</t>
  </si>
  <si>
    <t>Annual premium or fee</t>
  </si>
  <si>
    <t>Original expiry</t>
  </si>
  <si>
    <t>Revised expiry</t>
  </si>
  <si>
    <t>Extension days</t>
  </si>
  <si>
    <t>Pro-rata estimate</t>
  </si>
  <si>
    <t>Actual additional charge (endorsement) – optional</t>
  </si>
  <si>
    <t>Amount used</t>
  </si>
  <si>
    <t>Notes</t>
  </si>
  <si>
    <t>Performance security</t>
  </si>
  <si>
    <t>Bank commission – performance guarantee</t>
  </si>
  <si>
    <t>Bank extension advice</t>
  </si>
  <si>
    <t>Head-office overheads (Guidelines s.2.4)</t>
  </si>
  <si>
    <t>Actual additional expenditure is the most defensible basis. Hudson / Emden / Eichleay are shown for comparison; their use depends on governing law and evidence, and they are not authorised by FIDIC as such.</t>
  </si>
  <si>
    <t>Selected method</t>
  </si>
  <si>
    <t>Actual additional expenditure</t>
  </si>
  <si>
    <t>Recovery factor / evidential confidence (%)</t>
  </si>
  <si>
    <t>1. Actual additional head-office expenditure</t>
  </si>
  <si>
    <t>Additional head-office contract management (EXAMPLE)</t>
  </si>
  <si>
    <t>HO payroll extract</t>
  </si>
  <si>
    <t>2. Formula methods (comparison only unless selected above)</t>
  </si>
  <si>
    <t>Delay / prolongation days</t>
  </si>
  <si>
    <t>Hudson</t>
  </si>
  <si>
    <t>Head-office overhead % (excluding profit)</t>
  </si>
  <si>
    <t>Use the overhead % only, so profit is not added twice when Cost Plus Profit applies.</t>
  </si>
  <si>
    <t>Hudson amount</t>
  </si>
  <si>
    <t>Formula: overhead % × Contract Price ÷ contract days × delay days</t>
  </si>
  <si>
    <t>Emden</t>
  </si>
  <si>
    <t>Total head-office overhead of Contractor (period)</t>
  </si>
  <si>
    <t>Total turnover of Contractor (same period)</t>
  </si>
  <si>
    <t>Actual head-office overhead %</t>
  </si>
  <si>
    <t>Emden amount</t>
  </si>
  <si>
    <t>Formula: actual overhead % × Contract Price ÷ contract days × delay days</t>
  </si>
  <si>
    <t>Eichleay</t>
  </si>
  <si>
    <t>Contract billings during performance period</t>
  </si>
  <si>
    <t>Total billings, all contracts (same period)</t>
  </si>
  <si>
    <t>Total head-office overhead (same period)</t>
  </si>
  <si>
    <t>Actual performance days (original period + delay)</t>
  </si>
  <si>
    <t>Overhead allocable to this contract</t>
  </si>
  <si>
    <t>Daily allocable overhead</t>
  </si>
  <si>
    <t>Eichleay amount</t>
  </si>
  <si>
    <t>Formula: daily allocable overhead × delay days</t>
  </si>
  <si>
    <t>3. Result carried to Summary</t>
  </si>
  <si>
    <t>Amount under selected method</t>
  </si>
  <si>
    <t>After recovery factor</t>
  </si>
  <si>
    <t>Included in claim (per Inputs toggle)</t>
  </si>
  <si>
    <t>Financing costs &amp; delayed release of retention (Guidelines s.2.5)</t>
  </si>
  <si>
    <t>Simple interest: Amount × annual rate × days ÷ day-count basis (Inputs). Entitlement depends on the contract and governing law – do not claim the same financing impact twice.</t>
  </si>
  <si>
    <t>1. Delayed release of retention</t>
  </si>
  <si>
    <t>Retention amount</t>
  </si>
  <si>
    <t>Contractual release date</t>
  </si>
  <si>
    <t>Actual / forecast release date</t>
  </si>
  <si>
    <t>Delay days</t>
  </si>
  <si>
    <t>Annual financing rate</t>
  </si>
  <si>
    <t>Financing cost</t>
  </si>
  <si>
    <t>Evidence / notes</t>
  </si>
  <si>
    <t>Retention release (EXAMPLE)</t>
  </si>
  <si>
    <t>Facility statements; matches Guidelines s.2.5 illustration</t>
  </si>
  <si>
    <t>2. Delayed interim payments / other financing</t>
  </si>
  <si>
    <t>Amount delayed</t>
  </si>
  <si>
    <t>Due date</t>
  </si>
  <si>
    <t>Date paid</t>
  </si>
  <si>
    <t>Days late</t>
  </si>
  <si>
    <t>Total financing costs claimed (to Summary)</t>
  </si>
  <si>
    <t>Format as in section 1 (no example row – leave blank if not claimed).</t>
  </si>
  <si>
    <t>Escalation of labour, materials &amp; other prices (Guidelines s.2.6)</t>
  </si>
  <si>
    <t>Escalation is only claimed where caused by the compensable delay and not allocated to the Contractor. Deduct anything already paid under price adjustment (Sub-Clause 13.8).</t>
  </si>
  <si>
    <t>Description of affected work / resource</t>
  </si>
  <si>
    <t>Base cost at original price level</t>
  </si>
  <si>
    <t>Escalation %</t>
  </si>
  <si>
    <t>Escalation amount</t>
  </si>
  <si>
    <t>Already adjusted / paid under price adjustment</t>
  </si>
  <si>
    <t>Price risk allocated to Contractor?</t>
  </si>
  <si>
    <t>Concrete frame labour re-rate – activity executed 15 days later (EXAMPLE)</t>
  </si>
  <si>
    <t>No</t>
  </si>
  <si>
    <t>Revised subcontract rates</t>
  </si>
  <si>
    <t>Subcontractor &amp; other event-specific costs (Guidelines s.2.7–2.8)</t>
  </si>
  <si>
    <t>Subcontractor amounts are only claimed where the underlying entitlement is substantiated (column E = Yes). An invoice alone does not establish the Employer's liability.</t>
  </si>
  <si>
    <t>Amount incurred / contractually payable</t>
  </si>
  <si>
    <t>Entitlement substantiated?</t>
  </si>
  <si>
    <t>Subcontractor claim</t>
  </si>
  <si>
    <t>Subcontractor X – extended supervision (EXAMPLE)</t>
  </si>
  <si>
    <t>SC invoice 0123; SC claim notice</t>
  </si>
  <si>
    <t>Sub-Clause 20.2 compliance &amp; evidence checklist (Guidelines s.5)</t>
  </si>
  <si>
    <t>Time limits below are the General Conditions defaults (28 / 84 days) – amend if the Particular Conditions differ. Late notice may bar the claim, subject to the contract and governing law.</t>
  </si>
  <si>
    <t>1. Notice and claim timing</t>
  </si>
  <si>
    <t>Date Contractor became aware (or should have become aware) of the event</t>
  </si>
  <si>
    <t>Date notice of claim given</t>
  </si>
  <si>
    <t>Days from awareness to notice</t>
  </si>
  <si>
    <t>Notice time limit (days)</t>
  </si>
  <si>
    <t>Notice status</t>
  </si>
  <si>
    <t>Date fully detailed claim submitted</t>
  </si>
  <si>
    <t>Days from awareness to fully detailed claim</t>
  </si>
  <si>
    <t>Fully detailed claim time limit (days)</t>
  </si>
  <si>
    <t>For events with continuing effect, check the interim-claim requirements of Sub-Clause 20.2.</t>
  </si>
  <si>
    <t>Fully detailed claim status</t>
  </si>
  <si>
    <t>Overall procedural timing</t>
  </si>
  <si>
    <t>2. Substantiation / evidence checklist</t>
  </si>
  <si>
    <t>Item</t>
  </si>
  <si>
    <t>Status</t>
  </si>
  <si>
    <t>Reference / notes</t>
  </si>
  <si>
    <t>Copy of notice of claim</t>
  </si>
  <si>
    <t>Contractual entitlement analysis (Sub-Clause, Particular Conditions reviewed)</t>
  </si>
  <si>
    <t>Baseline programme</t>
  </si>
  <si>
    <t>Updated / as-built programmes</t>
  </si>
  <si>
    <t>Critical-path delay analysis</t>
  </si>
  <si>
    <t>Contemporaneous records (site diaries, photos, correspondence)</t>
  </si>
  <si>
    <t>Payroll records and timesheets</t>
  </si>
  <si>
    <t>Plant hire invoices / rental agreements</t>
  </si>
  <si>
    <t>Insurance endorsements and bank advices</t>
  </si>
  <si>
    <t>General-ledger extracts</t>
  </si>
  <si>
    <t>Subcontractor claims and proof of payment</t>
  </si>
  <si>
    <t>N/A</t>
  </si>
  <si>
    <t>Mitigation evidence (alternatives considered)</t>
  </si>
  <si>
    <t>Reconciliation of amounts already paid / Variations</t>
  </si>
  <si>
    <t>Separation of disruption / acceleration claims</t>
  </si>
  <si>
    <t>Checklist completeness (Yes ÷ applicable items)</t>
  </si>
  <si>
    <t>Lookup lists (used by drop-downs and formulas). Edit with care.</t>
  </si>
  <si>
    <t>Days per period</t>
  </si>
  <si>
    <t>Yes / No</t>
  </si>
  <si>
    <t>Head-office method</t>
  </si>
  <si>
    <t>Site cost categories</t>
  </si>
  <si>
    <t>Security / insurance types</t>
  </si>
  <si>
    <t>Other cost categories</t>
  </si>
  <si>
    <t>Checklist status</t>
  </si>
  <si>
    <t>EOT only</t>
  </si>
  <si>
    <t>Project insurance (CAR / TPL)</t>
  </si>
  <si>
    <t>Week</t>
  </si>
  <si>
    <t>Additional mobilisation</t>
  </si>
  <si>
    <t>Month</t>
  </si>
  <si>
    <t>Cost Plus Profit</t>
  </si>
  <si>
    <t>Advance payment guarantee</t>
  </si>
  <si>
    <t>Additional demobilisation</t>
  </si>
  <si>
    <t>Lump sum</t>
  </si>
  <si>
    <t>Retention bond</t>
  </si>
  <si>
    <t>Testing / commissioning extension</t>
  </si>
  <si>
    <t>None</t>
  </si>
  <si>
    <t>Owned plant (additional operating cost)</t>
  </si>
  <si>
    <t>Other security</t>
  </si>
  <si>
    <t>Handover &amp; close-out</t>
  </si>
  <si>
    <t>Idle plant / standby</t>
  </si>
  <si>
    <t>Other event-specific cost</t>
  </si>
  <si>
    <t>Temporary works (extended)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</si>
</sst>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;\(0.0%\);\-"/>
    <numFmt numFmtId="165" formatCode="#,##0;\(#,##0\);\-"/>
    <numFmt numFmtId="166" formatCode="dd\-mmm\-yyyy"/>
    <numFmt numFmtId="167" formatCode="#,##0.00;\(#,##0.00\);\-"/>
  </numFmts>
  <fonts count="10" x14ac:knownFonts="1">
    <font>
      <sz val="11"/>
      <color theme="1"/>
      <name val="Calibri"/>
      <family val="2"/>
      <charset val="1"/>
    </font>
    <font>
      <b/>
      <sz val="14"/>
      <color rgb="FF1F4E79"/>
      <name val="Arial"/>
      <charset val="1"/>
    </font>
    <font>
      <i/>
      <sz val="10"/>
      <color rgb="FF595959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sz val="10"/>
      <color rgb="FF008000"/>
      <name val="Arial"/>
      <charset val="1"/>
    </font>
    <font>
      <b/>
      <sz val="11"/>
      <color rgb="FF1F4E79"/>
      <name val="Arial"/>
      <charset val="1"/>
    </font>
    <font>
      <b/>
      <sz val="10"/>
      <color rgb="FFFFFFFF"/>
      <name val="Arial"/>
      <charset val="1"/>
    </font>
    <font>
      <b/>
      <sz val="11"/>
      <color rgb="FFFFFFFF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DDEBF7"/>
        <bgColor rgb="FFF2F2F2"/>
      </patternFill>
    </fill>
    <fill>
      <patternFill patternType="solid">
        <fgColor rgb="FF1F4E79"/>
        <bgColor rgb="FF003366"/>
      </patternFill>
    </fill>
    <fill>
      <patternFill patternType="solid">
        <fgColor rgb="FFF2F2F2"/>
        <bgColor rgb="FFDDEBF7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2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3" borderId="0" xfId="0" applyFont="1" applyFill="1" applyAlignment="1">
      <alignment vertical="center"/>
    </xf>
    <xf numFmtId="0" fontId="0" fillId="3" borderId="0" xfId="0" applyFill="1"/>
    <xf numFmtId="0" fontId="2" fillId="0" borderId="0" xfId="0" applyFont="1" applyAlignment="1">
      <alignment vertical="top" wrapText="1"/>
    </xf>
    <xf numFmtId="164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7" fontId="5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167" fontId="4" fillId="0" borderId="1" xfId="0" applyNumberFormat="1" applyFont="1" applyBorder="1" applyAlignment="1">
      <alignment vertical="center"/>
    </xf>
    <xf numFmtId="167" fontId="6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3" fillId="5" borderId="1" xfId="0" applyFont="1" applyFill="1" applyBorder="1" applyAlignment="1">
      <alignment vertical="top" wrapText="1"/>
    </xf>
    <xf numFmtId="167" fontId="3" fillId="5" borderId="1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top" wrapText="1"/>
    </xf>
    <xf numFmtId="167" fontId="9" fillId="4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center" vertical="center"/>
    </xf>
    <xf numFmtId="165" fontId="5" fillId="2" borderId="1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8"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  <dxf>
      <fill>
        <patternFill>
          <bgColor rgb="FFF8CBA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78787"/>
      <rgbColor rgb="FF9999FF"/>
      <rgbColor rgb="FF993366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8CBAD"/>
      <rgbColor rgb="FF4F81BD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GB" sz="1800" b="1" strike="noStrike" spc="-1">
                <a:solidFill>
                  <a:srgbClr val="000000"/>
                </a:solidFill>
                <a:latin typeface="Calibri"/>
              </a:rPr>
              <a:t>Claim by cost head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NL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Summary!$G$7:$G$12</c:f>
              <c:strCache>
                <c:ptCount val="6"/>
                <c:pt idx="0">
                  <c:v>Site time-related</c:v>
                </c:pt>
                <c:pt idx="1">
                  <c:v>Insurance &amp; bonds</c:v>
                </c:pt>
                <c:pt idx="2">
                  <c:v>Head office</c:v>
                </c:pt>
                <c:pt idx="3">
                  <c:v>Financing</c:v>
                </c:pt>
                <c:pt idx="4">
                  <c:v>Escalation</c:v>
                </c:pt>
                <c:pt idx="5">
                  <c:v>Subcontractor &amp; other</c:v>
                </c:pt>
              </c:strCache>
            </c:strRef>
          </c:cat>
          <c:val>
            <c:numRef>
              <c:f>Summary!$H$7:$H$12</c:f>
              <c:numCache>
                <c:formatCode>#,##0.00;\(#,##0.00\);\-</c:formatCode>
                <c:ptCount val="6"/>
                <c:pt idx="0">
                  <c:v>33000</c:v>
                </c:pt>
                <c:pt idx="1">
                  <c:v>1972.6027397260275</c:v>
                </c:pt>
                <c:pt idx="2">
                  <c:v>6000</c:v>
                </c:pt>
                <c:pt idx="3">
                  <c:v>7397.2602739726026</c:v>
                </c:pt>
                <c:pt idx="4">
                  <c:v>3000</c:v>
                </c:pt>
                <c:pt idx="5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B-1543-91AE-1F2F78EA62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8088"/>
        <c:axId val="73596329"/>
      </c:barChart>
      <c:catAx>
        <c:axId val="1108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NL"/>
          </a:p>
        </c:txPr>
        <c:crossAx val="73596329"/>
        <c:crosses val="autoZero"/>
        <c:auto val="1"/>
        <c:lblAlgn val="ctr"/>
        <c:lblOffset val="100"/>
        <c:noMultiLvlLbl val="0"/>
      </c:catAx>
      <c:valAx>
        <c:axId val="73596329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(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NL"/>
          </a:p>
        </c:txPr>
        <c:crossAx val="110808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13</xdr:row>
      <xdr:rowOff>160560</xdr:rowOff>
    </xdr:from>
    <xdr:to>
      <xdr:col>11</xdr:col>
      <xdr:colOff>385920</xdr:colOff>
      <xdr:row>28</xdr:row>
      <xdr:rowOff>2880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0"/>
  <sheetViews>
    <sheetView showGridLines="0" zoomScaleNormal="100" workbookViewId="0"/>
  </sheetViews>
  <sheetFormatPr baseColWidth="10" defaultColWidth="8.6640625" defaultRowHeight="15" x14ac:dyDescent="0.2"/>
  <cols>
    <col min="1" max="1" width="130" customWidth="1"/>
  </cols>
  <sheetData>
    <row r="1" spans="1:1" ht="18" x14ac:dyDescent="0.2">
      <c r="A1" s="3" t="s">
        <v>0</v>
      </c>
    </row>
    <row r="2" spans="1:1" x14ac:dyDescent="0.2">
      <c r="A2" s="4" t="s">
        <v>1</v>
      </c>
    </row>
    <row r="4" spans="1:1" x14ac:dyDescent="0.2">
      <c r="A4" s="5" t="s">
        <v>2</v>
      </c>
    </row>
    <row r="5" spans="1:1" x14ac:dyDescent="0.2">
      <c r="A5" s="6" t="s">
        <v>3</v>
      </c>
    </row>
    <row r="6" spans="1:1" x14ac:dyDescent="0.2">
      <c r="A6" s="6" t="s">
        <v>4</v>
      </c>
    </row>
    <row r="7" spans="1:1" x14ac:dyDescent="0.2">
      <c r="A7" s="6" t="s">
        <v>5</v>
      </c>
    </row>
    <row r="8" spans="1:1" x14ac:dyDescent="0.2">
      <c r="A8" s="6" t="s">
        <v>6</v>
      </c>
    </row>
    <row r="9" spans="1:1" x14ac:dyDescent="0.2">
      <c r="A9" s="6"/>
    </row>
    <row r="10" spans="1:1" x14ac:dyDescent="0.2">
      <c r="A10" s="5" t="s">
        <v>7</v>
      </c>
    </row>
    <row r="11" spans="1:1" x14ac:dyDescent="0.2">
      <c r="A11" s="7" t="s">
        <v>8</v>
      </c>
    </row>
    <row r="12" spans="1:1" x14ac:dyDescent="0.2">
      <c r="A12" s="8" t="s">
        <v>9</v>
      </c>
    </row>
    <row r="13" spans="1:1" x14ac:dyDescent="0.2">
      <c r="A13" s="9" t="s">
        <v>10</v>
      </c>
    </row>
    <row r="14" spans="1:1" x14ac:dyDescent="0.2">
      <c r="A14" s="6"/>
    </row>
    <row r="15" spans="1:1" x14ac:dyDescent="0.2">
      <c r="A15" s="5" t="s">
        <v>11</v>
      </c>
    </row>
    <row r="16" spans="1:1" ht="28" x14ac:dyDescent="0.2">
      <c r="A16" s="6" t="s">
        <v>12</v>
      </c>
    </row>
    <row r="17" spans="1:1" ht="39.75" customHeight="1" x14ac:dyDescent="0.2">
      <c r="A17" s="6"/>
    </row>
    <row r="18" spans="1:1" x14ac:dyDescent="0.2">
      <c r="A18" s="5" t="s">
        <v>13</v>
      </c>
    </row>
    <row r="19" spans="1:1" x14ac:dyDescent="0.2">
      <c r="A19" s="6" t="s">
        <v>14</v>
      </c>
    </row>
    <row r="20" spans="1:1" x14ac:dyDescent="0.2">
      <c r="A20" s="6" t="s">
        <v>15</v>
      </c>
    </row>
    <row r="21" spans="1:1" x14ac:dyDescent="0.2">
      <c r="A21" s="6" t="s">
        <v>16</v>
      </c>
    </row>
    <row r="22" spans="1:1" x14ac:dyDescent="0.2">
      <c r="A22" s="6" t="s">
        <v>17</v>
      </c>
    </row>
    <row r="23" spans="1:1" x14ac:dyDescent="0.2">
      <c r="A23" s="6" t="s">
        <v>18</v>
      </c>
    </row>
    <row r="24" spans="1:1" x14ac:dyDescent="0.2">
      <c r="A24" s="6" t="s">
        <v>19</v>
      </c>
    </row>
    <row r="25" spans="1:1" x14ac:dyDescent="0.2">
      <c r="A25" s="6" t="s">
        <v>20</v>
      </c>
    </row>
    <row r="26" spans="1:1" x14ac:dyDescent="0.2">
      <c r="A26" s="6"/>
    </row>
    <row r="27" spans="1:1" x14ac:dyDescent="0.2">
      <c r="A27" s="5" t="s">
        <v>21</v>
      </c>
    </row>
    <row r="28" spans="1:1" ht="28" x14ac:dyDescent="0.2">
      <c r="A28" s="6" t="s">
        <v>22</v>
      </c>
    </row>
    <row r="30" spans="1:1" ht="27.75" customHeight="1" x14ac:dyDescent="0.2"/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50" customWidth="1"/>
    <col min="3" max="3" width="32" customWidth="1"/>
    <col min="4" max="4" width="80" customWidth="1"/>
  </cols>
  <sheetData>
    <row r="1" spans="1:4" ht="18" x14ac:dyDescent="0.2">
      <c r="A1" s="3" t="s">
        <v>23</v>
      </c>
    </row>
    <row r="2" spans="1:4" x14ac:dyDescent="0.2">
      <c r="A2" s="4" t="s">
        <v>24</v>
      </c>
    </row>
    <row r="4" spans="1:4" x14ac:dyDescent="0.2">
      <c r="B4" s="10" t="s">
        <v>25</v>
      </c>
      <c r="C4" s="11"/>
      <c r="D4" s="11"/>
    </row>
    <row r="5" spans="1:4" x14ac:dyDescent="0.2">
      <c r="B5" s="6" t="s">
        <v>26</v>
      </c>
      <c r="C5" s="7" t="s">
        <v>27</v>
      </c>
    </row>
    <row r="6" spans="1:4" x14ac:dyDescent="0.2">
      <c r="B6" s="6" t="s">
        <v>28</v>
      </c>
      <c r="C6" s="7" t="s">
        <v>29</v>
      </c>
    </row>
    <row r="7" spans="1:4" x14ac:dyDescent="0.2">
      <c r="B7" s="6" t="s">
        <v>30</v>
      </c>
      <c r="C7" s="7" t="s">
        <v>31</v>
      </c>
    </row>
    <row r="8" spans="1:4" x14ac:dyDescent="0.2">
      <c r="B8" s="6" t="s">
        <v>32</v>
      </c>
      <c r="C8" s="7" t="s">
        <v>33</v>
      </c>
    </row>
    <row r="9" spans="1:4" x14ac:dyDescent="0.2">
      <c r="B9" s="6" t="s">
        <v>34</v>
      </c>
      <c r="C9" s="7" t="s">
        <v>35</v>
      </c>
    </row>
    <row r="10" spans="1:4" ht="27.75" customHeight="1" x14ac:dyDescent="0.2">
      <c r="B10" s="6" t="s">
        <v>36</v>
      </c>
      <c r="C10" s="7" t="s">
        <v>37</v>
      </c>
      <c r="D10" s="12" t="s">
        <v>38</v>
      </c>
    </row>
    <row r="11" spans="1:4" x14ac:dyDescent="0.2">
      <c r="B11" s="6" t="s">
        <v>39</v>
      </c>
      <c r="C11" s="7" t="s">
        <v>40</v>
      </c>
    </row>
    <row r="13" spans="1:4" x14ac:dyDescent="0.2">
      <c r="B13" s="10" t="s">
        <v>41</v>
      </c>
      <c r="C13" s="11"/>
      <c r="D13" s="11"/>
    </row>
    <row r="14" spans="1:4" ht="27.75" customHeight="1" x14ac:dyDescent="0.2">
      <c r="B14" s="6" t="s">
        <v>42</v>
      </c>
      <c r="C14" s="7" t="s">
        <v>43</v>
      </c>
      <c r="D14" s="12" t="s">
        <v>44</v>
      </c>
    </row>
    <row r="15" spans="1:4" ht="27.75" customHeight="1" x14ac:dyDescent="0.2">
      <c r="B15" s="6" t="s">
        <v>45</v>
      </c>
      <c r="C15" s="13">
        <v>0.05</v>
      </c>
      <c r="D15" s="12" t="s">
        <v>46</v>
      </c>
    </row>
    <row r="16" spans="1:4" ht="27.75" customHeight="1" x14ac:dyDescent="0.2">
      <c r="B16" s="6" t="s">
        <v>47</v>
      </c>
      <c r="C16" s="14">
        <v>365</v>
      </c>
      <c r="D16" s="12" t="s">
        <v>48</v>
      </c>
    </row>
    <row r="18" spans="2:4" x14ac:dyDescent="0.2">
      <c r="B18" s="10" t="s">
        <v>49</v>
      </c>
      <c r="C18" s="11"/>
      <c r="D18" s="11"/>
    </row>
    <row r="19" spans="2:4" x14ac:dyDescent="0.2">
      <c r="B19" s="6" t="s">
        <v>50</v>
      </c>
      <c r="C19" s="15">
        <v>45658</v>
      </c>
    </row>
    <row r="20" spans="2:4" x14ac:dyDescent="0.2">
      <c r="B20" s="6" t="s">
        <v>51</v>
      </c>
      <c r="C20" s="15">
        <v>46387</v>
      </c>
    </row>
    <row r="21" spans="2:4" ht="27.75" customHeight="1" x14ac:dyDescent="0.2">
      <c r="B21" s="6" t="s">
        <v>52</v>
      </c>
      <c r="C21" s="14">
        <v>15</v>
      </c>
      <c r="D21" s="12" t="s">
        <v>53</v>
      </c>
    </row>
    <row r="22" spans="2:4" x14ac:dyDescent="0.2">
      <c r="B22" s="6" t="s">
        <v>54</v>
      </c>
      <c r="C22" s="16">
        <f>C20+C21</f>
        <v>46402</v>
      </c>
    </row>
    <row r="23" spans="2:4" ht="27.75" customHeight="1" x14ac:dyDescent="0.2">
      <c r="B23" s="6" t="s">
        <v>55</v>
      </c>
      <c r="C23" s="16">
        <f>C20+1</f>
        <v>46388</v>
      </c>
      <c r="D23" s="12" t="s">
        <v>56</v>
      </c>
    </row>
    <row r="24" spans="2:4" x14ac:dyDescent="0.2">
      <c r="B24" s="6" t="s">
        <v>57</v>
      </c>
      <c r="C24" s="16">
        <f>C22</f>
        <v>46402</v>
      </c>
    </row>
    <row r="25" spans="2:4" x14ac:dyDescent="0.2">
      <c r="B25" s="6" t="s">
        <v>58</v>
      </c>
      <c r="C25" s="17">
        <f>MAX(0,C24-C23+1)</f>
        <v>15</v>
      </c>
    </row>
    <row r="26" spans="2:4" x14ac:dyDescent="0.2">
      <c r="B26" s="6" t="s">
        <v>59</v>
      </c>
      <c r="C26" s="17">
        <f>C20-C19+1</f>
        <v>730</v>
      </c>
    </row>
    <row r="27" spans="2:4" ht="27.75" customHeight="1" x14ac:dyDescent="0.2">
      <c r="B27" s="6" t="s">
        <v>60</v>
      </c>
      <c r="C27" s="18">
        <v>12000000</v>
      </c>
      <c r="D27" s="12" t="s">
        <v>61</v>
      </c>
    </row>
    <row r="29" spans="2:4" x14ac:dyDescent="0.2">
      <c r="B29" s="10" t="s">
        <v>62</v>
      </c>
      <c r="C29" s="11"/>
      <c r="D29" s="11"/>
    </row>
    <row r="30" spans="2:4" ht="27.75" customHeight="1" x14ac:dyDescent="0.2">
      <c r="B30" s="6" t="s">
        <v>63</v>
      </c>
      <c r="C30" s="13">
        <v>0</v>
      </c>
      <c r="D30" s="12" t="s">
        <v>64</v>
      </c>
    </row>
    <row r="31" spans="2:4" x14ac:dyDescent="0.2">
      <c r="B31" s="6" t="s">
        <v>65</v>
      </c>
      <c r="C31" s="7" t="s">
        <v>66</v>
      </c>
    </row>
    <row r="32" spans="2:4" x14ac:dyDescent="0.2">
      <c r="B32" s="6" t="s">
        <v>67</v>
      </c>
      <c r="C32" s="7" t="s">
        <v>66</v>
      </c>
    </row>
    <row r="33" spans="2:4" x14ac:dyDescent="0.2">
      <c r="B33" s="6" t="s">
        <v>68</v>
      </c>
      <c r="C33" s="7" t="s">
        <v>66</v>
      </c>
    </row>
    <row r="34" spans="2:4" ht="27.75" customHeight="1" x14ac:dyDescent="0.2">
      <c r="B34" s="6" t="s">
        <v>69</v>
      </c>
      <c r="C34" s="18">
        <v>0</v>
      </c>
      <c r="D34" s="12" t="s">
        <v>70</v>
      </c>
    </row>
  </sheetData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100-000000000000}">
          <x14:formula1>
            <xm:f>Lists!$F$3:$F$5</xm:f>
          </x14:formula1>
          <x14:formula2>
            <xm:f>0</xm:f>
          </x14:formula2>
          <xm:sqref>C14</xm:sqref>
        </x14:dataValidation>
        <x14:dataValidation type="list" allowBlank="1" xr:uid="{00000000-0002-0000-0100-000001000000}">
          <x14:formula1>
            <xm:f>Lists!$D$3:$D$4</xm:f>
          </x14:formula1>
          <x14:formula2>
            <xm:f>0</xm:f>
          </x14:formula2>
          <xm:sqref>C31:C33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showGridLines="0" tabSelected="1" zoomScaleNormal="100" workbookViewId="0"/>
  </sheetViews>
  <sheetFormatPr baseColWidth="10" defaultColWidth="8.6640625" defaultRowHeight="15" x14ac:dyDescent="0.2"/>
  <cols>
    <col min="1" max="1" width="3" customWidth="1"/>
    <col min="2" max="2" width="58" customWidth="1"/>
    <col min="3" max="3" width="16" customWidth="1"/>
    <col min="4" max="4" width="20" customWidth="1"/>
    <col min="5" max="5" width="16" customWidth="1"/>
    <col min="6" max="6" width="3" customWidth="1"/>
    <col min="7" max="7" width="24" customWidth="1"/>
    <col min="8" max="8" width="16" customWidth="1"/>
  </cols>
  <sheetData>
    <row r="1" spans="1:8" ht="18" x14ac:dyDescent="0.2">
      <c r="A1" s="3" t="s">
        <v>71</v>
      </c>
    </row>
    <row r="2" spans="1:8" x14ac:dyDescent="0.2">
      <c r="A2" s="4" t="str">
        <f>"Currency: "&amp;Inputs!$C$11&amp;"   |   Claim ref: "&amp;Inputs!$C$8</f>
        <v>Currency: EUR   |   Claim ref: CLAIM-EOT-007</v>
      </c>
    </row>
    <row r="3" spans="1:8" x14ac:dyDescent="0.2">
      <c r="A3" s="4" t="s">
        <v>72</v>
      </c>
    </row>
    <row r="4" spans="1:8" x14ac:dyDescent="0.2">
      <c r="A4" s="19" t="str">
        <f>"Project: "&amp;Inputs!$C$5&amp;"   |   Event: "&amp;Inputs!$C$9</f>
        <v>Project: Example Power Plant – Package 3   |   Event: Late access to Area B (Site)</v>
      </c>
    </row>
    <row r="6" spans="1:8" ht="42" customHeight="1" x14ac:dyDescent="0.2">
      <c r="A6" s="20"/>
      <c r="B6" s="20" t="s">
        <v>73</v>
      </c>
      <c r="C6" s="20" t="s">
        <v>74</v>
      </c>
      <c r="D6" s="20" t="s">
        <v>75</v>
      </c>
      <c r="E6" s="20" t="s">
        <v>76</v>
      </c>
      <c r="G6" s="19" t="s">
        <v>77</v>
      </c>
    </row>
    <row r="7" spans="1:8" x14ac:dyDescent="0.2">
      <c r="B7" s="10" t="s">
        <v>78</v>
      </c>
      <c r="C7" s="11"/>
      <c r="D7" s="11"/>
      <c r="E7" s="11"/>
      <c r="G7" s="8" t="s">
        <v>79</v>
      </c>
      <c r="H7" s="21">
        <f t="shared" ref="H7:H12" si="0">D15</f>
        <v>33000</v>
      </c>
    </row>
    <row r="8" spans="1:8" x14ac:dyDescent="0.2">
      <c r="B8" s="9" t="str">
        <f>Lists!$J$3</f>
        <v>Site accommodation &amp; facilities</v>
      </c>
      <c r="C8" s="4" t="s">
        <v>80</v>
      </c>
      <c r="D8" s="22">
        <f>SUMIFS(Site_Costs!$M$6:$M$45,Site_Costs!$B$6:$B$45,B8)</f>
        <v>5250</v>
      </c>
      <c r="E8" s="23">
        <f t="shared" ref="E8:E20" si="1">IFERROR(D8/$D$21,0)</f>
        <v>9.396837072453107E-2</v>
      </c>
      <c r="G8" s="8" t="s">
        <v>81</v>
      </c>
      <c r="H8" s="21">
        <f t="shared" si="0"/>
        <v>1972.6027397260275</v>
      </c>
    </row>
    <row r="9" spans="1:8" x14ac:dyDescent="0.2">
      <c r="B9" s="9" t="str">
        <f>Lists!$J$4</f>
        <v>Site management &amp; supervision</v>
      </c>
      <c r="C9" s="4" t="s">
        <v>80</v>
      </c>
      <c r="D9" s="22">
        <f>SUMIFS(Site_Costs!$M$6:$M$45,Site_Costs!$B$6:$B$45,B9)</f>
        <v>18000</v>
      </c>
      <c r="E9" s="23">
        <f t="shared" si="1"/>
        <v>0.32217727105553512</v>
      </c>
      <c r="G9" s="8" t="s">
        <v>82</v>
      </c>
      <c r="H9" s="21">
        <f t="shared" si="0"/>
        <v>6000</v>
      </c>
    </row>
    <row r="10" spans="1:8" x14ac:dyDescent="0.2">
      <c r="B10" s="9" t="str">
        <f>Lists!$J$5</f>
        <v>Site services &amp; operating expenses</v>
      </c>
      <c r="C10" s="4" t="s">
        <v>80</v>
      </c>
      <c r="D10" s="22">
        <f>SUMIFS(Site_Costs!$M$6:$M$45,Site_Costs!$B$6:$B$45,B10)</f>
        <v>3000</v>
      </c>
      <c r="E10" s="23">
        <f t="shared" si="1"/>
        <v>5.3696211842589187E-2</v>
      </c>
      <c r="G10" s="8" t="s">
        <v>83</v>
      </c>
      <c r="H10" s="21">
        <f t="shared" si="0"/>
        <v>7397.2602739726026</v>
      </c>
    </row>
    <row r="11" spans="1:8" x14ac:dyDescent="0.2">
      <c r="B11" s="9" t="str">
        <f>Lists!$J$6</f>
        <v>Hired plant &amp; equipment</v>
      </c>
      <c r="C11" s="4" t="s">
        <v>80</v>
      </c>
      <c r="D11" s="22">
        <f>SUMIFS(Site_Costs!$M$6:$M$45,Site_Costs!$B$6:$B$45,B11)</f>
        <v>6750</v>
      </c>
      <c r="E11" s="23">
        <f t="shared" si="1"/>
        <v>0.12081647664582566</v>
      </c>
      <c r="G11" s="8" t="s">
        <v>84</v>
      </c>
      <c r="H11" s="21">
        <f t="shared" si="0"/>
        <v>3000</v>
      </c>
    </row>
    <row r="12" spans="1:8" x14ac:dyDescent="0.2">
      <c r="B12" s="9" t="str">
        <f>Lists!$J$7</f>
        <v>Owned plant (additional operating cost)</v>
      </c>
      <c r="C12" s="4" t="s">
        <v>80</v>
      </c>
      <c r="D12" s="22">
        <f>SUMIFS(Site_Costs!$M$6:$M$45,Site_Costs!$B$6:$B$45,B12)</f>
        <v>0</v>
      </c>
      <c r="E12" s="23">
        <f t="shared" si="1"/>
        <v>0</v>
      </c>
      <c r="G12" s="8" t="s">
        <v>85</v>
      </c>
      <c r="H12" s="21">
        <f t="shared" si="0"/>
        <v>4500</v>
      </c>
    </row>
    <row r="13" spans="1:8" x14ac:dyDescent="0.2">
      <c r="B13" s="9" t="str">
        <f>Lists!$J$8</f>
        <v>Idle plant / standby</v>
      </c>
      <c r="C13" s="4" t="s">
        <v>80</v>
      </c>
      <c r="D13" s="22">
        <f>SUMIFS(Site_Costs!$M$6:$M$45,Site_Costs!$B$6:$B$45,B13)</f>
        <v>0</v>
      </c>
      <c r="E13" s="23">
        <f t="shared" si="1"/>
        <v>0</v>
      </c>
    </row>
    <row r="14" spans="1:8" x14ac:dyDescent="0.2">
      <c r="B14" s="9" t="str">
        <f>Lists!$J$9</f>
        <v>Temporary works (extended)</v>
      </c>
      <c r="C14" s="4" t="s">
        <v>80</v>
      </c>
      <c r="D14" s="22">
        <f>SUMIFS(Site_Costs!$M$6:$M$45,Site_Costs!$B$6:$B$45,B14)</f>
        <v>0</v>
      </c>
      <c r="E14" s="23">
        <f t="shared" si="1"/>
        <v>0</v>
      </c>
    </row>
    <row r="15" spans="1:8" x14ac:dyDescent="0.2">
      <c r="B15" s="24" t="s">
        <v>86</v>
      </c>
      <c r="C15" s="4"/>
      <c r="D15" s="25">
        <f>SUM(D8:D14)</f>
        <v>33000</v>
      </c>
      <c r="E15" s="23">
        <f t="shared" si="1"/>
        <v>0.59065833026848102</v>
      </c>
    </row>
    <row r="16" spans="1:8" x14ac:dyDescent="0.2">
      <c r="B16" s="6" t="s">
        <v>87</v>
      </c>
      <c r="C16" s="4" t="s">
        <v>88</v>
      </c>
      <c r="D16" s="22">
        <f>Insurance_Bonds!$L$26</f>
        <v>1972.6027397260275</v>
      </c>
      <c r="E16" s="23">
        <f t="shared" si="1"/>
        <v>3.5307098197866864E-2</v>
      </c>
    </row>
    <row r="17" spans="2:5" x14ac:dyDescent="0.2">
      <c r="B17" s="9" t="str">
        <f>"C. Head-office overheads ("&amp;Head_Office!$C$4&amp;")"</f>
        <v>C. Head-office overheads (Actual additional expenditure)</v>
      </c>
      <c r="C17" s="4" t="s">
        <v>89</v>
      </c>
      <c r="D17" s="22">
        <f>Head_Office!$C$47</f>
        <v>6000</v>
      </c>
      <c r="E17" s="23">
        <f t="shared" si="1"/>
        <v>0.10739242368517837</v>
      </c>
    </row>
    <row r="18" spans="2:5" x14ac:dyDescent="0.2">
      <c r="B18" s="6" t="s">
        <v>90</v>
      </c>
      <c r="C18" s="4" t="s">
        <v>83</v>
      </c>
      <c r="D18" s="22">
        <f>IF(Inputs!$C$32="Yes",Financing!$J$29,0)</f>
        <v>7397.2602739726026</v>
      </c>
      <c r="E18" s="23">
        <f t="shared" si="1"/>
        <v>0.13240161824200072</v>
      </c>
    </row>
    <row r="19" spans="2:5" x14ac:dyDescent="0.2">
      <c r="B19" s="6" t="s">
        <v>91</v>
      </c>
      <c r="C19" s="4" t="s">
        <v>84</v>
      </c>
      <c r="D19" s="22">
        <f>IF(Inputs!$C$33="Yes",Escalation!$I$21,0)</f>
        <v>3000</v>
      </c>
      <c r="E19" s="23">
        <f t="shared" si="1"/>
        <v>5.3696211842589187E-2</v>
      </c>
    </row>
    <row r="20" spans="2:5" x14ac:dyDescent="0.2">
      <c r="B20" s="6" t="s">
        <v>92</v>
      </c>
      <c r="C20" s="4" t="s">
        <v>93</v>
      </c>
      <c r="D20" s="22">
        <f>Other_Costs!$G$31</f>
        <v>4500</v>
      </c>
      <c r="E20" s="23">
        <f t="shared" si="1"/>
        <v>8.054431776388378E-2</v>
      </c>
    </row>
    <row r="21" spans="2:5" x14ac:dyDescent="0.2">
      <c r="B21" s="24" t="s">
        <v>94</v>
      </c>
      <c r="C21" s="4"/>
      <c r="D21" s="25">
        <f>D15+SUM(D16:D20)</f>
        <v>55869.863013698632</v>
      </c>
    </row>
    <row r="22" spans="2:5" x14ac:dyDescent="0.2">
      <c r="B22" s="6" t="s">
        <v>95</v>
      </c>
      <c r="C22" s="4" t="s">
        <v>96</v>
      </c>
      <c r="D22" s="22">
        <f>-D21*Inputs!$C$30</f>
        <v>0</v>
      </c>
    </row>
    <row r="23" spans="2:5" x14ac:dyDescent="0.2">
      <c r="B23" s="6" t="s">
        <v>97</v>
      </c>
      <c r="C23" s="4" t="s">
        <v>98</v>
      </c>
      <c r="D23" s="22">
        <f>-Inputs!$C$34</f>
        <v>0</v>
      </c>
    </row>
    <row r="24" spans="2:5" x14ac:dyDescent="0.2">
      <c r="B24" s="24" t="s">
        <v>99</v>
      </c>
      <c r="C24" s="4"/>
      <c r="D24" s="25">
        <f>MAX(0,D21+D22+D23)</f>
        <v>55869.863013698632</v>
      </c>
    </row>
    <row r="25" spans="2:5" x14ac:dyDescent="0.2">
      <c r="B25" s="6" t="s">
        <v>100</v>
      </c>
      <c r="C25" s="4" t="s">
        <v>101</v>
      </c>
      <c r="D25" s="22">
        <f>IF(Inputs!$C$14="Cost Plus Profit",D24*Inputs!$C$15,0)</f>
        <v>0</v>
      </c>
    </row>
    <row r="26" spans="2:5" x14ac:dyDescent="0.2">
      <c r="B26" s="26" t="s">
        <v>102</v>
      </c>
      <c r="C26" s="4"/>
      <c r="D26" s="27">
        <f>IF(Inputs!$C$14="EOT only",0,D24+D25)</f>
        <v>55869.863013698632</v>
      </c>
    </row>
    <row r="29" spans="2:5" x14ac:dyDescent="0.2">
      <c r="B29" s="10" t="s">
        <v>103</v>
      </c>
      <c r="C29" s="11"/>
      <c r="D29" s="11"/>
      <c r="E29" s="11"/>
    </row>
    <row r="30" spans="2:5" x14ac:dyDescent="0.2">
      <c r="B30" s="28" t="s">
        <v>42</v>
      </c>
      <c r="D30" s="29" t="str">
        <f>Inputs!$C$14</f>
        <v>Cost</v>
      </c>
    </row>
    <row r="31" spans="2:5" x14ac:dyDescent="0.2">
      <c r="B31" s="28" t="s">
        <v>58</v>
      </c>
      <c r="D31" s="30">
        <f>Inputs!$C$25</f>
        <v>15</v>
      </c>
    </row>
    <row r="32" spans="2:5" x14ac:dyDescent="0.2">
      <c r="B32" s="28" t="s">
        <v>104</v>
      </c>
      <c r="D32" s="30">
        <f>Inputs!$C$21</f>
        <v>15</v>
      </c>
    </row>
    <row r="33" spans="2:5" x14ac:dyDescent="0.2">
      <c r="B33" s="28" t="s">
        <v>105</v>
      </c>
      <c r="D33" s="21">
        <f>IFERROR(D26/D31,0)</f>
        <v>3724.6575342465753</v>
      </c>
    </row>
    <row r="34" spans="2:5" x14ac:dyDescent="0.2">
      <c r="B34" s="28" t="s">
        <v>106</v>
      </c>
      <c r="D34" s="29" t="str">
        <f>Compliance!$C$14</f>
        <v>Procedural timing OK</v>
      </c>
    </row>
    <row r="35" spans="2:5" x14ac:dyDescent="0.2">
      <c r="B35" s="28" t="s">
        <v>107</v>
      </c>
      <c r="D35" s="31">
        <f>Compliance!$C$33</f>
        <v>0.58333333333333337</v>
      </c>
    </row>
    <row r="36" spans="2:5" x14ac:dyDescent="0.2">
      <c r="B36" s="28" t="s">
        <v>108</v>
      </c>
      <c r="D36" s="2" t="str">
        <f>IF(Inputs!$C$14="EOT only","EOT only: no payment entitlement – claim set to zero",IF(Compliance!$C$14&lt;&gt;"Procedural timing OK","Check Sub-Clause 20.2 compliance (Compliance sheet)","No automatic warnings"))</f>
        <v>No automatic warnings</v>
      </c>
      <c r="E36" s="2"/>
    </row>
  </sheetData>
  <mergeCells count="1">
    <mergeCell ref="D36:E36"/>
  </mergeCells>
  <conditionalFormatting sqref="D34">
    <cfRule type="expression" dxfId="7" priority="3">
      <formula>LEFT(D34,6)="REVIEW"</formula>
    </cfRule>
  </conditionalFormatting>
  <conditionalFormatting sqref="D36">
    <cfRule type="expression" dxfId="6" priority="2">
      <formula>D36&lt;&gt;"No automatic warnings"</formula>
    </cfRule>
  </conditionalFormatting>
  <pageMargins left="0.75" right="0.75" top="1" bottom="1" header="0.511811023622047" footer="0.511811023622047"/>
  <pageSetup paperSize="9" fitToHeight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5" customWidth="1"/>
    <col min="2" max="2" width="34" customWidth="1"/>
    <col min="3" max="3" width="40" customWidth="1"/>
    <col min="4" max="4" width="11" customWidth="1"/>
    <col min="5" max="5" width="8" customWidth="1"/>
    <col min="6" max="6" width="14" customWidth="1"/>
    <col min="7" max="8" width="13" customWidth="1"/>
    <col min="9" max="9" width="8" customWidth="1"/>
    <col min="10" max="10" width="9" customWidth="1"/>
    <col min="11" max="11" width="15" customWidth="1"/>
    <col min="12" max="12" width="12" customWidth="1"/>
    <col min="13" max="13" width="15" customWidth="1"/>
    <col min="14" max="14" width="26" customWidth="1"/>
    <col min="15" max="15" width="32" customWidth="1"/>
  </cols>
  <sheetData>
    <row r="1" spans="1:15" ht="18" x14ac:dyDescent="0.2">
      <c r="A1" s="3" t="s">
        <v>109</v>
      </c>
    </row>
    <row r="2" spans="1:15" x14ac:dyDescent="0.2">
      <c r="A2" s="4" t="str">
        <f>"Currency: "&amp;Inputs!$C$11&amp;"   |   Claim ref: "&amp;Inputs!$C$8</f>
        <v>Currency: EUR   |   Claim ref: CLAIM-EOT-007</v>
      </c>
    </row>
    <row r="3" spans="1:15" x14ac:dyDescent="0.2">
      <c r="A3" s="4" t="s">
        <v>110</v>
      </c>
    </row>
    <row r="5" spans="1:15" ht="42" customHeight="1" x14ac:dyDescent="0.2">
      <c r="A5" s="20" t="s">
        <v>111</v>
      </c>
      <c r="B5" s="20" t="s">
        <v>112</v>
      </c>
      <c r="C5" s="20" t="s">
        <v>113</v>
      </c>
      <c r="D5" s="20" t="s">
        <v>114</v>
      </c>
      <c r="E5" s="20" t="s">
        <v>115</v>
      </c>
      <c r="F5" s="20" t="s">
        <v>116</v>
      </c>
      <c r="G5" s="20" t="s">
        <v>117</v>
      </c>
      <c r="H5" s="20" t="s">
        <v>118</v>
      </c>
      <c r="I5" s="20" t="s">
        <v>119</v>
      </c>
      <c r="J5" s="20" t="s">
        <v>120</v>
      </c>
      <c r="K5" s="20" t="s">
        <v>121</v>
      </c>
      <c r="L5" s="20" t="s">
        <v>122</v>
      </c>
      <c r="M5" s="20" t="s">
        <v>123</v>
      </c>
      <c r="N5" s="20" t="s">
        <v>124</v>
      </c>
      <c r="O5" s="20" t="s">
        <v>125</v>
      </c>
    </row>
    <row r="6" spans="1:15" x14ac:dyDescent="0.2">
      <c r="A6" s="32">
        <v>1</v>
      </c>
      <c r="B6" s="7" t="s">
        <v>126</v>
      </c>
      <c r="C6" s="7" t="s">
        <v>127</v>
      </c>
      <c r="D6" s="7" t="s">
        <v>128</v>
      </c>
      <c r="E6" s="33">
        <v>1</v>
      </c>
      <c r="F6" s="34">
        <v>1200</v>
      </c>
      <c r="G6" s="35">
        <f>Inputs!$C$23</f>
        <v>46388</v>
      </c>
      <c r="H6" s="35">
        <f>Inputs!$C$24</f>
        <v>46402</v>
      </c>
      <c r="I6" s="36">
        <f t="shared" ref="I6:I45" si="0">IF(OR(G6="",H6=""),0,MAX(0,H6-G6+1))</f>
        <v>15</v>
      </c>
      <c r="J6" s="21">
        <f>IF(D6="Lump sum",1,IFERROR(I6/INDEX(Lists!$B$3:$B$6,MATCH(D6,Lists!$A$3:$A$6,0)),0))</f>
        <v>15</v>
      </c>
      <c r="K6" s="21">
        <f t="shared" ref="K6:K45" si="1">E6*F6*J6</f>
        <v>18000</v>
      </c>
      <c r="L6" s="37">
        <v>1</v>
      </c>
      <c r="M6" s="21">
        <f t="shared" ref="M6:M45" si="2">K6*L6</f>
        <v>18000</v>
      </c>
      <c r="N6" s="7" t="s">
        <v>129</v>
      </c>
      <c r="O6" s="7" t="s">
        <v>130</v>
      </c>
    </row>
    <row r="7" spans="1:15" x14ac:dyDescent="0.2">
      <c r="A7" s="32">
        <v>2</v>
      </c>
      <c r="B7" s="7" t="s">
        <v>131</v>
      </c>
      <c r="C7" s="7" t="s">
        <v>132</v>
      </c>
      <c r="D7" s="7" t="s">
        <v>128</v>
      </c>
      <c r="E7" s="33">
        <v>1</v>
      </c>
      <c r="F7" s="34">
        <v>350</v>
      </c>
      <c r="G7" s="35">
        <f>Inputs!$C$23</f>
        <v>46388</v>
      </c>
      <c r="H7" s="35">
        <f>Inputs!$C$24</f>
        <v>46402</v>
      </c>
      <c r="I7" s="36">
        <f t="shared" si="0"/>
        <v>15</v>
      </c>
      <c r="J7" s="21">
        <f>IF(D7="Lump sum",1,IFERROR(I7/INDEX(Lists!$B$3:$B$6,MATCH(D7,Lists!$A$3:$A$6,0)),0))</f>
        <v>15</v>
      </c>
      <c r="K7" s="21">
        <f t="shared" si="1"/>
        <v>5250</v>
      </c>
      <c r="L7" s="37">
        <v>1</v>
      </c>
      <c r="M7" s="21">
        <f t="shared" si="2"/>
        <v>5250</v>
      </c>
      <c r="N7" s="7" t="s">
        <v>133</v>
      </c>
      <c r="O7" s="7" t="s">
        <v>130</v>
      </c>
    </row>
    <row r="8" spans="1:15" x14ac:dyDescent="0.2">
      <c r="A8" s="32">
        <v>3</v>
      </c>
      <c r="B8" s="7" t="s">
        <v>134</v>
      </c>
      <c r="C8" s="7" t="s">
        <v>135</v>
      </c>
      <c r="D8" s="7" t="s">
        <v>128</v>
      </c>
      <c r="E8" s="33">
        <v>1</v>
      </c>
      <c r="F8" s="34">
        <v>200</v>
      </c>
      <c r="G8" s="35">
        <f>Inputs!$C$23</f>
        <v>46388</v>
      </c>
      <c r="H8" s="35">
        <f>Inputs!$C$24</f>
        <v>46402</v>
      </c>
      <c r="I8" s="36">
        <f t="shared" si="0"/>
        <v>15</v>
      </c>
      <c r="J8" s="21">
        <f>IF(D8="Lump sum",1,IFERROR(I8/INDEX(Lists!$B$3:$B$6,MATCH(D8,Lists!$A$3:$A$6,0)),0))</f>
        <v>15</v>
      </c>
      <c r="K8" s="21">
        <f t="shared" si="1"/>
        <v>3000</v>
      </c>
      <c r="L8" s="37">
        <v>1</v>
      </c>
      <c r="M8" s="21">
        <f t="shared" si="2"/>
        <v>3000</v>
      </c>
      <c r="N8" s="7" t="s">
        <v>136</v>
      </c>
      <c r="O8" s="7" t="s">
        <v>130</v>
      </c>
    </row>
    <row r="9" spans="1:15" x14ac:dyDescent="0.2">
      <c r="A9" s="32">
        <v>4</v>
      </c>
      <c r="B9" s="7" t="s">
        <v>137</v>
      </c>
      <c r="C9" s="7" t="s">
        <v>138</v>
      </c>
      <c r="D9" s="7" t="s">
        <v>128</v>
      </c>
      <c r="E9" s="33">
        <v>1</v>
      </c>
      <c r="F9" s="34">
        <v>450</v>
      </c>
      <c r="G9" s="35">
        <f>Inputs!$C$23</f>
        <v>46388</v>
      </c>
      <c r="H9" s="35">
        <f>Inputs!$C$24</f>
        <v>46402</v>
      </c>
      <c r="I9" s="36">
        <f t="shared" si="0"/>
        <v>15</v>
      </c>
      <c r="J9" s="21">
        <f>IF(D9="Lump sum",1,IFERROR(I9/INDEX(Lists!$B$3:$B$6,MATCH(D9,Lists!$A$3:$A$6,0)),0))</f>
        <v>15</v>
      </c>
      <c r="K9" s="21">
        <f t="shared" si="1"/>
        <v>6750</v>
      </c>
      <c r="L9" s="37">
        <v>1</v>
      </c>
      <c r="M9" s="21">
        <f t="shared" si="2"/>
        <v>6750</v>
      </c>
      <c r="N9" s="7" t="s">
        <v>139</v>
      </c>
      <c r="O9" s="7" t="s">
        <v>130</v>
      </c>
    </row>
    <row r="10" spans="1:15" x14ac:dyDescent="0.2">
      <c r="A10" s="32">
        <v>5</v>
      </c>
      <c r="B10" s="7"/>
      <c r="C10" s="7"/>
      <c r="D10" s="7"/>
      <c r="E10" s="33"/>
      <c r="F10" s="34"/>
      <c r="G10" s="38"/>
      <c r="H10" s="38"/>
      <c r="I10" s="36">
        <f t="shared" si="0"/>
        <v>0</v>
      </c>
      <c r="J10" s="21">
        <f>IF(D10="Lump sum",1,IFERROR(I10/INDEX(Lists!$B$3:$B$6,MATCH(D10,Lists!$A$3:$A$6,0)),0))</f>
        <v>0</v>
      </c>
      <c r="K10" s="21">
        <f t="shared" si="1"/>
        <v>0</v>
      </c>
      <c r="L10" s="37"/>
      <c r="M10" s="21">
        <f t="shared" si="2"/>
        <v>0</v>
      </c>
      <c r="N10" s="7"/>
      <c r="O10" s="7"/>
    </row>
    <row r="11" spans="1:15" x14ac:dyDescent="0.2">
      <c r="A11" s="32">
        <v>6</v>
      </c>
      <c r="B11" s="7"/>
      <c r="C11" s="7"/>
      <c r="D11" s="7"/>
      <c r="E11" s="33"/>
      <c r="F11" s="34"/>
      <c r="G11" s="38"/>
      <c r="H11" s="38"/>
      <c r="I11" s="36">
        <f t="shared" si="0"/>
        <v>0</v>
      </c>
      <c r="J11" s="21">
        <f>IF(D11="Lump sum",1,IFERROR(I11/INDEX(Lists!$B$3:$B$6,MATCH(D11,Lists!$A$3:$A$6,0)),0))</f>
        <v>0</v>
      </c>
      <c r="K11" s="21">
        <f t="shared" si="1"/>
        <v>0</v>
      </c>
      <c r="L11" s="37"/>
      <c r="M11" s="21">
        <f t="shared" si="2"/>
        <v>0</v>
      </c>
      <c r="N11" s="7"/>
      <c r="O11" s="7"/>
    </row>
    <row r="12" spans="1:15" x14ac:dyDescent="0.2">
      <c r="A12" s="32">
        <v>7</v>
      </c>
      <c r="B12" s="7"/>
      <c r="C12" s="7"/>
      <c r="D12" s="7"/>
      <c r="E12" s="33"/>
      <c r="F12" s="34"/>
      <c r="G12" s="38"/>
      <c r="H12" s="38"/>
      <c r="I12" s="36">
        <f t="shared" si="0"/>
        <v>0</v>
      </c>
      <c r="J12" s="21">
        <f>IF(D12="Lump sum",1,IFERROR(I12/INDEX(Lists!$B$3:$B$6,MATCH(D12,Lists!$A$3:$A$6,0)),0))</f>
        <v>0</v>
      </c>
      <c r="K12" s="21">
        <f t="shared" si="1"/>
        <v>0</v>
      </c>
      <c r="L12" s="37"/>
      <c r="M12" s="21">
        <f t="shared" si="2"/>
        <v>0</v>
      </c>
      <c r="N12" s="7"/>
      <c r="O12" s="7"/>
    </row>
    <row r="13" spans="1:15" x14ac:dyDescent="0.2">
      <c r="A13" s="32">
        <v>8</v>
      </c>
      <c r="B13" s="7"/>
      <c r="C13" s="7"/>
      <c r="D13" s="7"/>
      <c r="E13" s="33"/>
      <c r="F13" s="34"/>
      <c r="G13" s="38"/>
      <c r="H13" s="38"/>
      <c r="I13" s="36">
        <f t="shared" si="0"/>
        <v>0</v>
      </c>
      <c r="J13" s="21">
        <f>IF(D13="Lump sum",1,IFERROR(I13/INDEX(Lists!$B$3:$B$6,MATCH(D13,Lists!$A$3:$A$6,0)),0))</f>
        <v>0</v>
      </c>
      <c r="K13" s="21">
        <f t="shared" si="1"/>
        <v>0</v>
      </c>
      <c r="L13" s="37"/>
      <c r="M13" s="21">
        <f t="shared" si="2"/>
        <v>0</v>
      </c>
      <c r="N13" s="7"/>
      <c r="O13" s="7"/>
    </row>
    <row r="14" spans="1:15" x14ac:dyDescent="0.2">
      <c r="A14" s="32">
        <v>9</v>
      </c>
      <c r="B14" s="7"/>
      <c r="C14" s="7"/>
      <c r="D14" s="7"/>
      <c r="E14" s="33"/>
      <c r="F14" s="34"/>
      <c r="G14" s="38"/>
      <c r="H14" s="38"/>
      <c r="I14" s="36">
        <f t="shared" si="0"/>
        <v>0</v>
      </c>
      <c r="J14" s="21">
        <f>IF(D14="Lump sum",1,IFERROR(I14/INDEX(Lists!$B$3:$B$6,MATCH(D14,Lists!$A$3:$A$6,0)),0))</f>
        <v>0</v>
      </c>
      <c r="K14" s="21">
        <f t="shared" si="1"/>
        <v>0</v>
      </c>
      <c r="L14" s="37"/>
      <c r="M14" s="21">
        <f t="shared" si="2"/>
        <v>0</v>
      </c>
      <c r="N14" s="7"/>
      <c r="O14" s="7"/>
    </row>
    <row r="15" spans="1:15" x14ac:dyDescent="0.2">
      <c r="A15" s="32">
        <v>10</v>
      </c>
      <c r="B15" s="7"/>
      <c r="C15" s="7"/>
      <c r="D15" s="7"/>
      <c r="E15" s="33"/>
      <c r="F15" s="34"/>
      <c r="G15" s="38"/>
      <c r="H15" s="38"/>
      <c r="I15" s="36">
        <f t="shared" si="0"/>
        <v>0</v>
      </c>
      <c r="J15" s="21">
        <f>IF(D15="Lump sum",1,IFERROR(I15/INDEX(Lists!$B$3:$B$6,MATCH(D15,Lists!$A$3:$A$6,0)),0))</f>
        <v>0</v>
      </c>
      <c r="K15" s="21">
        <f t="shared" si="1"/>
        <v>0</v>
      </c>
      <c r="L15" s="37"/>
      <c r="M15" s="21">
        <f t="shared" si="2"/>
        <v>0</v>
      </c>
      <c r="N15" s="7"/>
      <c r="O15" s="7"/>
    </row>
    <row r="16" spans="1:15" x14ac:dyDescent="0.2">
      <c r="A16" s="32">
        <v>11</v>
      </c>
      <c r="B16" s="7"/>
      <c r="C16" s="7"/>
      <c r="D16" s="7"/>
      <c r="E16" s="33"/>
      <c r="F16" s="34"/>
      <c r="G16" s="38"/>
      <c r="H16" s="38"/>
      <c r="I16" s="36">
        <f t="shared" si="0"/>
        <v>0</v>
      </c>
      <c r="J16" s="21">
        <f>IF(D16="Lump sum",1,IFERROR(I16/INDEX(Lists!$B$3:$B$6,MATCH(D16,Lists!$A$3:$A$6,0)),0))</f>
        <v>0</v>
      </c>
      <c r="K16" s="21">
        <f t="shared" si="1"/>
        <v>0</v>
      </c>
      <c r="L16" s="37"/>
      <c r="M16" s="21">
        <f t="shared" si="2"/>
        <v>0</v>
      </c>
      <c r="N16" s="7"/>
      <c r="O16" s="7"/>
    </row>
    <row r="17" spans="1:15" x14ac:dyDescent="0.2">
      <c r="A17" s="32">
        <v>12</v>
      </c>
      <c r="B17" s="7"/>
      <c r="C17" s="7"/>
      <c r="D17" s="7"/>
      <c r="E17" s="33"/>
      <c r="F17" s="34"/>
      <c r="G17" s="38"/>
      <c r="H17" s="38"/>
      <c r="I17" s="36">
        <f t="shared" si="0"/>
        <v>0</v>
      </c>
      <c r="J17" s="21">
        <f>IF(D17="Lump sum",1,IFERROR(I17/INDEX(Lists!$B$3:$B$6,MATCH(D17,Lists!$A$3:$A$6,0)),0))</f>
        <v>0</v>
      </c>
      <c r="K17" s="21">
        <f t="shared" si="1"/>
        <v>0</v>
      </c>
      <c r="L17" s="37"/>
      <c r="M17" s="21">
        <f t="shared" si="2"/>
        <v>0</v>
      </c>
      <c r="N17" s="7"/>
      <c r="O17" s="7"/>
    </row>
    <row r="18" spans="1:15" x14ac:dyDescent="0.2">
      <c r="A18" s="32">
        <v>13</v>
      </c>
      <c r="B18" s="7"/>
      <c r="C18" s="7"/>
      <c r="D18" s="7"/>
      <c r="E18" s="33"/>
      <c r="F18" s="34"/>
      <c r="G18" s="38"/>
      <c r="H18" s="38"/>
      <c r="I18" s="36">
        <f t="shared" si="0"/>
        <v>0</v>
      </c>
      <c r="J18" s="21">
        <f>IF(D18="Lump sum",1,IFERROR(I18/INDEX(Lists!$B$3:$B$6,MATCH(D18,Lists!$A$3:$A$6,0)),0))</f>
        <v>0</v>
      </c>
      <c r="K18" s="21">
        <f t="shared" si="1"/>
        <v>0</v>
      </c>
      <c r="L18" s="37"/>
      <c r="M18" s="21">
        <f t="shared" si="2"/>
        <v>0</v>
      </c>
      <c r="N18" s="7"/>
      <c r="O18" s="7"/>
    </row>
    <row r="19" spans="1:15" x14ac:dyDescent="0.2">
      <c r="A19" s="32">
        <v>14</v>
      </c>
      <c r="B19" s="7"/>
      <c r="C19" s="7"/>
      <c r="D19" s="7"/>
      <c r="E19" s="33"/>
      <c r="F19" s="34"/>
      <c r="G19" s="38"/>
      <c r="H19" s="38"/>
      <c r="I19" s="36">
        <f t="shared" si="0"/>
        <v>0</v>
      </c>
      <c r="J19" s="21">
        <f>IF(D19="Lump sum",1,IFERROR(I19/INDEX(Lists!$B$3:$B$6,MATCH(D19,Lists!$A$3:$A$6,0)),0))</f>
        <v>0</v>
      </c>
      <c r="K19" s="21">
        <f t="shared" si="1"/>
        <v>0</v>
      </c>
      <c r="L19" s="37"/>
      <c r="M19" s="21">
        <f t="shared" si="2"/>
        <v>0</v>
      </c>
      <c r="N19" s="7"/>
      <c r="O19" s="7"/>
    </row>
    <row r="20" spans="1:15" x14ac:dyDescent="0.2">
      <c r="A20" s="32">
        <v>15</v>
      </c>
      <c r="B20" s="7"/>
      <c r="C20" s="7"/>
      <c r="D20" s="7"/>
      <c r="E20" s="33"/>
      <c r="F20" s="34"/>
      <c r="G20" s="38"/>
      <c r="H20" s="38"/>
      <c r="I20" s="36">
        <f t="shared" si="0"/>
        <v>0</v>
      </c>
      <c r="J20" s="21">
        <f>IF(D20="Lump sum",1,IFERROR(I20/INDEX(Lists!$B$3:$B$6,MATCH(D20,Lists!$A$3:$A$6,0)),0))</f>
        <v>0</v>
      </c>
      <c r="K20" s="21">
        <f t="shared" si="1"/>
        <v>0</v>
      </c>
      <c r="L20" s="37"/>
      <c r="M20" s="21">
        <f t="shared" si="2"/>
        <v>0</v>
      </c>
      <c r="N20" s="7"/>
      <c r="O20" s="7"/>
    </row>
    <row r="21" spans="1:15" x14ac:dyDescent="0.2">
      <c r="A21" s="32">
        <v>16</v>
      </c>
      <c r="B21" s="7"/>
      <c r="C21" s="7"/>
      <c r="D21" s="7"/>
      <c r="E21" s="33"/>
      <c r="F21" s="34"/>
      <c r="G21" s="38"/>
      <c r="H21" s="38"/>
      <c r="I21" s="36">
        <f t="shared" si="0"/>
        <v>0</v>
      </c>
      <c r="J21" s="21">
        <f>IF(D21="Lump sum",1,IFERROR(I21/INDEX(Lists!$B$3:$B$6,MATCH(D21,Lists!$A$3:$A$6,0)),0))</f>
        <v>0</v>
      </c>
      <c r="K21" s="21">
        <f t="shared" si="1"/>
        <v>0</v>
      </c>
      <c r="L21" s="37"/>
      <c r="M21" s="21">
        <f t="shared" si="2"/>
        <v>0</v>
      </c>
      <c r="N21" s="7"/>
      <c r="O21" s="7"/>
    </row>
    <row r="22" spans="1:15" x14ac:dyDescent="0.2">
      <c r="A22" s="32">
        <v>17</v>
      </c>
      <c r="B22" s="7"/>
      <c r="C22" s="7"/>
      <c r="D22" s="7"/>
      <c r="E22" s="33"/>
      <c r="F22" s="34"/>
      <c r="G22" s="38"/>
      <c r="H22" s="38"/>
      <c r="I22" s="36">
        <f t="shared" si="0"/>
        <v>0</v>
      </c>
      <c r="J22" s="21">
        <f>IF(D22="Lump sum",1,IFERROR(I22/INDEX(Lists!$B$3:$B$6,MATCH(D22,Lists!$A$3:$A$6,0)),0))</f>
        <v>0</v>
      </c>
      <c r="K22" s="21">
        <f t="shared" si="1"/>
        <v>0</v>
      </c>
      <c r="L22" s="37"/>
      <c r="M22" s="21">
        <f t="shared" si="2"/>
        <v>0</v>
      </c>
      <c r="N22" s="7"/>
      <c r="O22" s="7"/>
    </row>
    <row r="23" spans="1:15" x14ac:dyDescent="0.2">
      <c r="A23" s="32">
        <v>18</v>
      </c>
      <c r="B23" s="7"/>
      <c r="C23" s="7"/>
      <c r="D23" s="7"/>
      <c r="E23" s="33"/>
      <c r="F23" s="34"/>
      <c r="G23" s="38"/>
      <c r="H23" s="38"/>
      <c r="I23" s="36">
        <f t="shared" si="0"/>
        <v>0</v>
      </c>
      <c r="J23" s="21">
        <f>IF(D23="Lump sum",1,IFERROR(I23/INDEX(Lists!$B$3:$B$6,MATCH(D23,Lists!$A$3:$A$6,0)),0))</f>
        <v>0</v>
      </c>
      <c r="K23" s="21">
        <f t="shared" si="1"/>
        <v>0</v>
      </c>
      <c r="L23" s="37"/>
      <c r="M23" s="21">
        <f t="shared" si="2"/>
        <v>0</v>
      </c>
      <c r="N23" s="7"/>
      <c r="O23" s="7"/>
    </row>
    <row r="24" spans="1:15" x14ac:dyDescent="0.2">
      <c r="A24" s="32">
        <v>19</v>
      </c>
      <c r="B24" s="7"/>
      <c r="C24" s="7"/>
      <c r="D24" s="7"/>
      <c r="E24" s="33"/>
      <c r="F24" s="34"/>
      <c r="G24" s="38"/>
      <c r="H24" s="38"/>
      <c r="I24" s="36">
        <f t="shared" si="0"/>
        <v>0</v>
      </c>
      <c r="J24" s="21">
        <f>IF(D24="Lump sum",1,IFERROR(I24/INDEX(Lists!$B$3:$B$6,MATCH(D24,Lists!$A$3:$A$6,0)),0))</f>
        <v>0</v>
      </c>
      <c r="K24" s="21">
        <f t="shared" si="1"/>
        <v>0</v>
      </c>
      <c r="L24" s="37"/>
      <c r="M24" s="21">
        <f t="shared" si="2"/>
        <v>0</v>
      </c>
      <c r="N24" s="7"/>
      <c r="O24" s="7"/>
    </row>
    <row r="25" spans="1:15" x14ac:dyDescent="0.2">
      <c r="A25" s="32">
        <v>20</v>
      </c>
      <c r="B25" s="7"/>
      <c r="C25" s="7"/>
      <c r="D25" s="7"/>
      <c r="E25" s="33"/>
      <c r="F25" s="34"/>
      <c r="G25" s="38"/>
      <c r="H25" s="38"/>
      <c r="I25" s="36">
        <f t="shared" si="0"/>
        <v>0</v>
      </c>
      <c r="J25" s="21">
        <f>IF(D25="Lump sum",1,IFERROR(I25/INDEX(Lists!$B$3:$B$6,MATCH(D25,Lists!$A$3:$A$6,0)),0))</f>
        <v>0</v>
      </c>
      <c r="K25" s="21">
        <f t="shared" si="1"/>
        <v>0</v>
      </c>
      <c r="L25" s="37"/>
      <c r="M25" s="21">
        <f t="shared" si="2"/>
        <v>0</v>
      </c>
      <c r="N25" s="7"/>
      <c r="O25" s="7"/>
    </row>
    <row r="26" spans="1:15" x14ac:dyDescent="0.2">
      <c r="A26" s="32">
        <v>21</v>
      </c>
      <c r="B26" s="7"/>
      <c r="C26" s="7"/>
      <c r="D26" s="7"/>
      <c r="E26" s="33"/>
      <c r="F26" s="34"/>
      <c r="G26" s="38"/>
      <c r="H26" s="38"/>
      <c r="I26" s="36">
        <f t="shared" si="0"/>
        <v>0</v>
      </c>
      <c r="J26" s="21">
        <f>IF(D26="Lump sum",1,IFERROR(I26/INDEX(Lists!$B$3:$B$6,MATCH(D26,Lists!$A$3:$A$6,0)),0))</f>
        <v>0</v>
      </c>
      <c r="K26" s="21">
        <f t="shared" si="1"/>
        <v>0</v>
      </c>
      <c r="L26" s="37"/>
      <c r="M26" s="21">
        <f t="shared" si="2"/>
        <v>0</v>
      </c>
      <c r="N26" s="7"/>
      <c r="O26" s="7"/>
    </row>
    <row r="27" spans="1:15" x14ac:dyDescent="0.2">
      <c r="A27" s="32">
        <v>22</v>
      </c>
      <c r="B27" s="7"/>
      <c r="C27" s="7"/>
      <c r="D27" s="7"/>
      <c r="E27" s="33"/>
      <c r="F27" s="34"/>
      <c r="G27" s="38"/>
      <c r="H27" s="38"/>
      <c r="I27" s="36">
        <f t="shared" si="0"/>
        <v>0</v>
      </c>
      <c r="J27" s="21">
        <f>IF(D27="Lump sum",1,IFERROR(I27/INDEX(Lists!$B$3:$B$6,MATCH(D27,Lists!$A$3:$A$6,0)),0))</f>
        <v>0</v>
      </c>
      <c r="K27" s="21">
        <f t="shared" si="1"/>
        <v>0</v>
      </c>
      <c r="L27" s="37"/>
      <c r="M27" s="21">
        <f t="shared" si="2"/>
        <v>0</v>
      </c>
      <c r="N27" s="7"/>
      <c r="O27" s="7"/>
    </row>
    <row r="28" spans="1:15" x14ac:dyDescent="0.2">
      <c r="A28" s="32">
        <v>23</v>
      </c>
      <c r="B28" s="7"/>
      <c r="C28" s="7"/>
      <c r="D28" s="7"/>
      <c r="E28" s="33"/>
      <c r="F28" s="34"/>
      <c r="G28" s="38"/>
      <c r="H28" s="38"/>
      <c r="I28" s="36">
        <f t="shared" si="0"/>
        <v>0</v>
      </c>
      <c r="J28" s="21">
        <f>IF(D28="Lump sum",1,IFERROR(I28/INDEX(Lists!$B$3:$B$6,MATCH(D28,Lists!$A$3:$A$6,0)),0))</f>
        <v>0</v>
      </c>
      <c r="K28" s="21">
        <f t="shared" si="1"/>
        <v>0</v>
      </c>
      <c r="L28" s="37"/>
      <c r="M28" s="21">
        <f t="shared" si="2"/>
        <v>0</v>
      </c>
      <c r="N28" s="7"/>
      <c r="O28" s="7"/>
    </row>
    <row r="29" spans="1:15" x14ac:dyDescent="0.2">
      <c r="A29" s="32">
        <v>24</v>
      </c>
      <c r="B29" s="7"/>
      <c r="C29" s="7"/>
      <c r="D29" s="7"/>
      <c r="E29" s="33"/>
      <c r="F29" s="34"/>
      <c r="G29" s="38"/>
      <c r="H29" s="38"/>
      <c r="I29" s="36">
        <f t="shared" si="0"/>
        <v>0</v>
      </c>
      <c r="J29" s="21">
        <f>IF(D29="Lump sum",1,IFERROR(I29/INDEX(Lists!$B$3:$B$6,MATCH(D29,Lists!$A$3:$A$6,0)),0))</f>
        <v>0</v>
      </c>
      <c r="K29" s="21">
        <f t="shared" si="1"/>
        <v>0</v>
      </c>
      <c r="L29" s="37"/>
      <c r="M29" s="21">
        <f t="shared" si="2"/>
        <v>0</v>
      </c>
      <c r="N29" s="7"/>
      <c r="O29" s="7"/>
    </row>
    <row r="30" spans="1:15" x14ac:dyDescent="0.2">
      <c r="A30" s="32">
        <v>25</v>
      </c>
      <c r="B30" s="7"/>
      <c r="C30" s="7"/>
      <c r="D30" s="7"/>
      <c r="E30" s="33"/>
      <c r="F30" s="34"/>
      <c r="G30" s="38"/>
      <c r="H30" s="38"/>
      <c r="I30" s="36">
        <f t="shared" si="0"/>
        <v>0</v>
      </c>
      <c r="J30" s="21">
        <f>IF(D30="Lump sum",1,IFERROR(I30/INDEX(Lists!$B$3:$B$6,MATCH(D30,Lists!$A$3:$A$6,0)),0))</f>
        <v>0</v>
      </c>
      <c r="K30" s="21">
        <f t="shared" si="1"/>
        <v>0</v>
      </c>
      <c r="L30" s="37"/>
      <c r="M30" s="21">
        <f t="shared" si="2"/>
        <v>0</v>
      </c>
      <c r="N30" s="7"/>
      <c r="O30" s="7"/>
    </row>
    <row r="31" spans="1:15" x14ac:dyDescent="0.2">
      <c r="A31" s="32">
        <v>26</v>
      </c>
      <c r="B31" s="7"/>
      <c r="C31" s="7"/>
      <c r="D31" s="7"/>
      <c r="E31" s="33"/>
      <c r="F31" s="34"/>
      <c r="G31" s="38"/>
      <c r="H31" s="38"/>
      <c r="I31" s="36">
        <f t="shared" si="0"/>
        <v>0</v>
      </c>
      <c r="J31" s="21">
        <f>IF(D31="Lump sum",1,IFERROR(I31/INDEX(Lists!$B$3:$B$6,MATCH(D31,Lists!$A$3:$A$6,0)),0))</f>
        <v>0</v>
      </c>
      <c r="K31" s="21">
        <f t="shared" si="1"/>
        <v>0</v>
      </c>
      <c r="L31" s="37"/>
      <c r="M31" s="21">
        <f t="shared" si="2"/>
        <v>0</v>
      </c>
      <c r="N31" s="7"/>
      <c r="O31" s="7"/>
    </row>
    <row r="32" spans="1:15" x14ac:dyDescent="0.2">
      <c r="A32" s="32">
        <v>27</v>
      </c>
      <c r="B32" s="7"/>
      <c r="C32" s="7"/>
      <c r="D32" s="7"/>
      <c r="E32" s="33"/>
      <c r="F32" s="34"/>
      <c r="G32" s="38"/>
      <c r="H32" s="38"/>
      <c r="I32" s="36">
        <f t="shared" si="0"/>
        <v>0</v>
      </c>
      <c r="J32" s="21">
        <f>IF(D32="Lump sum",1,IFERROR(I32/INDEX(Lists!$B$3:$B$6,MATCH(D32,Lists!$A$3:$A$6,0)),0))</f>
        <v>0</v>
      </c>
      <c r="K32" s="21">
        <f t="shared" si="1"/>
        <v>0</v>
      </c>
      <c r="L32" s="37"/>
      <c r="M32" s="21">
        <f t="shared" si="2"/>
        <v>0</v>
      </c>
      <c r="N32" s="7"/>
      <c r="O32" s="7"/>
    </row>
    <row r="33" spans="1:15" x14ac:dyDescent="0.2">
      <c r="A33" s="32">
        <v>28</v>
      </c>
      <c r="B33" s="7"/>
      <c r="C33" s="7"/>
      <c r="D33" s="7"/>
      <c r="E33" s="33"/>
      <c r="F33" s="34"/>
      <c r="G33" s="38"/>
      <c r="H33" s="38"/>
      <c r="I33" s="36">
        <f t="shared" si="0"/>
        <v>0</v>
      </c>
      <c r="J33" s="21">
        <f>IF(D33="Lump sum",1,IFERROR(I33/INDEX(Lists!$B$3:$B$6,MATCH(D33,Lists!$A$3:$A$6,0)),0))</f>
        <v>0</v>
      </c>
      <c r="K33" s="21">
        <f t="shared" si="1"/>
        <v>0</v>
      </c>
      <c r="L33" s="37"/>
      <c r="M33" s="21">
        <f t="shared" si="2"/>
        <v>0</v>
      </c>
      <c r="N33" s="7"/>
      <c r="O33" s="7"/>
    </row>
    <row r="34" spans="1:15" x14ac:dyDescent="0.2">
      <c r="A34" s="32">
        <v>29</v>
      </c>
      <c r="B34" s="7"/>
      <c r="C34" s="7"/>
      <c r="D34" s="7"/>
      <c r="E34" s="33"/>
      <c r="F34" s="34"/>
      <c r="G34" s="38"/>
      <c r="H34" s="38"/>
      <c r="I34" s="36">
        <f t="shared" si="0"/>
        <v>0</v>
      </c>
      <c r="J34" s="21">
        <f>IF(D34="Lump sum",1,IFERROR(I34/INDEX(Lists!$B$3:$B$6,MATCH(D34,Lists!$A$3:$A$6,0)),0))</f>
        <v>0</v>
      </c>
      <c r="K34" s="21">
        <f t="shared" si="1"/>
        <v>0</v>
      </c>
      <c r="L34" s="37"/>
      <c r="M34" s="21">
        <f t="shared" si="2"/>
        <v>0</v>
      </c>
      <c r="N34" s="7"/>
      <c r="O34" s="7"/>
    </row>
    <row r="35" spans="1:15" x14ac:dyDescent="0.2">
      <c r="A35" s="32">
        <v>30</v>
      </c>
      <c r="B35" s="7"/>
      <c r="C35" s="7"/>
      <c r="D35" s="7"/>
      <c r="E35" s="33"/>
      <c r="F35" s="34"/>
      <c r="G35" s="38"/>
      <c r="H35" s="38"/>
      <c r="I35" s="36">
        <f t="shared" si="0"/>
        <v>0</v>
      </c>
      <c r="J35" s="21">
        <f>IF(D35="Lump sum",1,IFERROR(I35/INDEX(Lists!$B$3:$B$6,MATCH(D35,Lists!$A$3:$A$6,0)),0))</f>
        <v>0</v>
      </c>
      <c r="K35" s="21">
        <f t="shared" si="1"/>
        <v>0</v>
      </c>
      <c r="L35" s="37"/>
      <c r="M35" s="21">
        <f t="shared" si="2"/>
        <v>0</v>
      </c>
      <c r="N35" s="7"/>
      <c r="O35" s="7"/>
    </row>
    <row r="36" spans="1:15" x14ac:dyDescent="0.2">
      <c r="A36" s="32">
        <v>31</v>
      </c>
      <c r="B36" s="7"/>
      <c r="C36" s="7"/>
      <c r="D36" s="7"/>
      <c r="E36" s="33"/>
      <c r="F36" s="34"/>
      <c r="G36" s="38"/>
      <c r="H36" s="38"/>
      <c r="I36" s="36">
        <f t="shared" si="0"/>
        <v>0</v>
      </c>
      <c r="J36" s="21">
        <f>IF(D36="Lump sum",1,IFERROR(I36/INDEX(Lists!$B$3:$B$6,MATCH(D36,Lists!$A$3:$A$6,0)),0))</f>
        <v>0</v>
      </c>
      <c r="K36" s="21">
        <f t="shared" si="1"/>
        <v>0</v>
      </c>
      <c r="L36" s="37"/>
      <c r="M36" s="21">
        <f t="shared" si="2"/>
        <v>0</v>
      </c>
      <c r="N36" s="7"/>
      <c r="O36" s="7"/>
    </row>
    <row r="37" spans="1:15" x14ac:dyDescent="0.2">
      <c r="A37" s="32">
        <v>32</v>
      </c>
      <c r="B37" s="7"/>
      <c r="C37" s="7"/>
      <c r="D37" s="7"/>
      <c r="E37" s="33"/>
      <c r="F37" s="34"/>
      <c r="G37" s="38"/>
      <c r="H37" s="38"/>
      <c r="I37" s="36">
        <f t="shared" si="0"/>
        <v>0</v>
      </c>
      <c r="J37" s="21">
        <f>IF(D37="Lump sum",1,IFERROR(I37/INDEX(Lists!$B$3:$B$6,MATCH(D37,Lists!$A$3:$A$6,0)),0))</f>
        <v>0</v>
      </c>
      <c r="K37" s="21">
        <f t="shared" si="1"/>
        <v>0</v>
      </c>
      <c r="L37" s="37"/>
      <c r="M37" s="21">
        <f t="shared" si="2"/>
        <v>0</v>
      </c>
      <c r="N37" s="7"/>
      <c r="O37" s="7"/>
    </row>
    <row r="38" spans="1:15" x14ac:dyDescent="0.2">
      <c r="A38" s="32">
        <v>33</v>
      </c>
      <c r="B38" s="7"/>
      <c r="C38" s="7"/>
      <c r="D38" s="7"/>
      <c r="E38" s="33"/>
      <c r="F38" s="34"/>
      <c r="G38" s="38"/>
      <c r="H38" s="38"/>
      <c r="I38" s="36">
        <f t="shared" si="0"/>
        <v>0</v>
      </c>
      <c r="J38" s="21">
        <f>IF(D38="Lump sum",1,IFERROR(I38/INDEX(Lists!$B$3:$B$6,MATCH(D38,Lists!$A$3:$A$6,0)),0))</f>
        <v>0</v>
      </c>
      <c r="K38" s="21">
        <f t="shared" si="1"/>
        <v>0</v>
      </c>
      <c r="L38" s="37"/>
      <c r="M38" s="21">
        <f t="shared" si="2"/>
        <v>0</v>
      </c>
      <c r="N38" s="7"/>
      <c r="O38" s="7"/>
    </row>
    <row r="39" spans="1:15" x14ac:dyDescent="0.2">
      <c r="A39" s="32">
        <v>34</v>
      </c>
      <c r="B39" s="7"/>
      <c r="C39" s="7"/>
      <c r="D39" s="7"/>
      <c r="E39" s="33"/>
      <c r="F39" s="34"/>
      <c r="G39" s="38"/>
      <c r="H39" s="38"/>
      <c r="I39" s="36">
        <f t="shared" si="0"/>
        <v>0</v>
      </c>
      <c r="J39" s="21">
        <f>IF(D39="Lump sum",1,IFERROR(I39/INDEX(Lists!$B$3:$B$6,MATCH(D39,Lists!$A$3:$A$6,0)),0))</f>
        <v>0</v>
      </c>
      <c r="K39" s="21">
        <f t="shared" si="1"/>
        <v>0</v>
      </c>
      <c r="L39" s="37"/>
      <c r="M39" s="21">
        <f t="shared" si="2"/>
        <v>0</v>
      </c>
      <c r="N39" s="7"/>
      <c r="O39" s="7"/>
    </row>
    <row r="40" spans="1:15" x14ac:dyDescent="0.2">
      <c r="A40" s="32">
        <v>35</v>
      </c>
      <c r="B40" s="7"/>
      <c r="C40" s="7"/>
      <c r="D40" s="7"/>
      <c r="E40" s="33"/>
      <c r="F40" s="34"/>
      <c r="G40" s="38"/>
      <c r="H40" s="38"/>
      <c r="I40" s="36">
        <f t="shared" si="0"/>
        <v>0</v>
      </c>
      <c r="J40" s="21">
        <f>IF(D40="Lump sum",1,IFERROR(I40/INDEX(Lists!$B$3:$B$6,MATCH(D40,Lists!$A$3:$A$6,0)),0))</f>
        <v>0</v>
      </c>
      <c r="K40" s="21">
        <f t="shared" si="1"/>
        <v>0</v>
      </c>
      <c r="L40" s="37"/>
      <c r="M40" s="21">
        <f t="shared" si="2"/>
        <v>0</v>
      </c>
      <c r="N40" s="7"/>
      <c r="O40" s="7"/>
    </row>
    <row r="41" spans="1:15" x14ac:dyDescent="0.2">
      <c r="A41" s="32">
        <v>36</v>
      </c>
      <c r="B41" s="7"/>
      <c r="C41" s="7"/>
      <c r="D41" s="7"/>
      <c r="E41" s="33"/>
      <c r="F41" s="34"/>
      <c r="G41" s="38"/>
      <c r="H41" s="38"/>
      <c r="I41" s="36">
        <f t="shared" si="0"/>
        <v>0</v>
      </c>
      <c r="J41" s="21">
        <f>IF(D41="Lump sum",1,IFERROR(I41/INDEX(Lists!$B$3:$B$6,MATCH(D41,Lists!$A$3:$A$6,0)),0))</f>
        <v>0</v>
      </c>
      <c r="K41" s="21">
        <f t="shared" si="1"/>
        <v>0</v>
      </c>
      <c r="L41" s="37"/>
      <c r="M41" s="21">
        <f t="shared" si="2"/>
        <v>0</v>
      </c>
      <c r="N41" s="7"/>
      <c r="O41" s="7"/>
    </row>
    <row r="42" spans="1:15" x14ac:dyDescent="0.2">
      <c r="A42" s="32">
        <v>37</v>
      </c>
      <c r="B42" s="7"/>
      <c r="C42" s="7"/>
      <c r="D42" s="7"/>
      <c r="E42" s="33"/>
      <c r="F42" s="34"/>
      <c r="G42" s="38"/>
      <c r="H42" s="38"/>
      <c r="I42" s="36">
        <f t="shared" si="0"/>
        <v>0</v>
      </c>
      <c r="J42" s="21">
        <f>IF(D42="Lump sum",1,IFERROR(I42/INDEX(Lists!$B$3:$B$6,MATCH(D42,Lists!$A$3:$A$6,0)),0))</f>
        <v>0</v>
      </c>
      <c r="K42" s="21">
        <f t="shared" si="1"/>
        <v>0</v>
      </c>
      <c r="L42" s="37"/>
      <c r="M42" s="21">
        <f t="shared" si="2"/>
        <v>0</v>
      </c>
      <c r="N42" s="7"/>
      <c r="O42" s="7"/>
    </row>
    <row r="43" spans="1:15" x14ac:dyDescent="0.2">
      <c r="A43" s="32">
        <v>38</v>
      </c>
      <c r="B43" s="7"/>
      <c r="C43" s="7"/>
      <c r="D43" s="7"/>
      <c r="E43" s="33"/>
      <c r="F43" s="34"/>
      <c r="G43" s="38"/>
      <c r="H43" s="38"/>
      <c r="I43" s="36">
        <f t="shared" si="0"/>
        <v>0</v>
      </c>
      <c r="J43" s="21">
        <f>IF(D43="Lump sum",1,IFERROR(I43/INDEX(Lists!$B$3:$B$6,MATCH(D43,Lists!$A$3:$A$6,0)),0))</f>
        <v>0</v>
      </c>
      <c r="K43" s="21">
        <f t="shared" si="1"/>
        <v>0</v>
      </c>
      <c r="L43" s="37"/>
      <c r="M43" s="21">
        <f t="shared" si="2"/>
        <v>0</v>
      </c>
      <c r="N43" s="7"/>
      <c r="O43" s="7"/>
    </row>
    <row r="44" spans="1:15" x14ac:dyDescent="0.2">
      <c r="A44" s="32">
        <v>39</v>
      </c>
      <c r="B44" s="7"/>
      <c r="C44" s="7"/>
      <c r="D44" s="7"/>
      <c r="E44" s="33"/>
      <c r="F44" s="34"/>
      <c r="G44" s="38"/>
      <c r="H44" s="38"/>
      <c r="I44" s="36">
        <f t="shared" si="0"/>
        <v>0</v>
      </c>
      <c r="J44" s="21">
        <f>IF(D44="Lump sum",1,IFERROR(I44/INDEX(Lists!$B$3:$B$6,MATCH(D44,Lists!$A$3:$A$6,0)),0))</f>
        <v>0</v>
      </c>
      <c r="K44" s="21">
        <f t="shared" si="1"/>
        <v>0</v>
      </c>
      <c r="L44" s="37"/>
      <c r="M44" s="21">
        <f t="shared" si="2"/>
        <v>0</v>
      </c>
      <c r="N44" s="7"/>
      <c r="O44" s="7"/>
    </row>
    <row r="45" spans="1:15" x14ac:dyDescent="0.2">
      <c r="A45" s="32">
        <v>40</v>
      </c>
      <c r="B45" s="7"/>
      <c r="C45" s="7"/>
      <c r="D45" s="7"/>
      <c r="E45" s="33"/>
      <c r="F45" s="34"/>
      <c r="G45" s="38"/>
      <c r="H45" s="38"/>
      <c r="I45" s="36">
        <f t="shared" si="0"/>
        <v>0</v>
      </c>
      <c r="J45" s="21">
        <f>IF(D45="Lump sum",1,IFERROR(I45/INDEX(Lists!$B$3:$B$6,MATCH(D45,Lists!$A$3:$A$6,0)),0))</f>
        <v>0</v>
      </c>
      <c r="K45" s="21">
        <f t="shared" si="1"/>
        <v>0</v>
      </c>
      <c r="L45" s="37"/>
      <c r="M45" s="21">
        <f t="shared" si="2"/>
        <v>0</v>
      </c>
      <c r="N45" s="7"/>
      <c r="O45" s="7"/>
    </row>
    <row r="46" spans="1:15" x14ac:dyDescent="0.2">
      <c r="A46" s="39" t="s">
        <v>140</v>
      </c>
      <c r="B46" s="39"/>
      <c r="C46" s="39"/>
      <c r="D46" s="39"/>
      <c r="E46" s="39"/>
      <c r="F46" s="39"/>
      <c r="G46" s="39"/>
      <c r="H46" s="39"/>
      <c r="I46" s="39"/>
      <c r="J46" s="39"/>
      <c r="K46" s="25">
        <f>SUM(K6:K45)</f>
        <v>33000</v>
      </c>
      <c r="L46" s="39"/>
      <c r="M46" s="25">
        <f>SUM(M6:M45)</f>
        <v>33000</v>
      </c>
      <c r="N46" s="39"/>
      <c r="O46" s="39"/>
    </row>
  </sheetData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300-000000000000}">
          <x14:formula1>
            <xm:f>Lists!$J$3:$J$9</xm:f>
          </x14:formula1>
          <x14:formula2>
            <xm:f>0</xm:f>
          </x14:formula2>
          <xm:sqref>B6:B45</xm:sqref>
        </x14:dataValidation>
        <x14:dataValidation type="list" allowBlank="1" xr:uid="{00000000-0002-0000-0300-000001000000}">
          <x14:formula1>
            <xm:f>Lists!$A$3:$A$6</xm:f>
          </x14:formula1>
          <x14:formula2>
            <xm:f>0</xm:f>
          </x14:formula2>
          <xm:sqref>D6:D45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6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5" customWidth="1"/>
    <col min="2" max="2" width="28" customWidth="1"/>
    <col min="3" max="3" width="38" customWidth="1"/>
    <col min="4" max="4" width="15" customWidth="1"/>
    <col min="5" max="6" width="14" customWidth="1"/>
    <col min="7" max="7" width="11" customWidth="1"/>
    <col min="8" max="8" width="15" customWidth="1"/>
    <col min="9" max="9" width="22" customWidth="1"/>
    <col min="10" max="10" width="15" customWidth="1"/>
    <col min="11" max="11" width="12" customWidth="1"/>
    <col min="12" max="12" width="15" customWidth="1"/>
    <col min="13" max="13" width="24" customWidth="1"/>
    <col min="14" max="14" width="30" customWidth="1"/>
  </cols>
  <sheetData>
    <row r="1" spans="1:14" ht="18" x14ac:dyDescent="0.2">
      <c r="A1" s="3" t="s">
        <v>141</v>
      </c>
    </row>
    <row r="2" spans="1:14" x14ac:dyDescent="0.2">
      <c r="A2" s="4" t="str">
        <f>"Currency: "&amp;Inputs!$C$11&amp;"   |   Claim ref: "&amp;Inputs!$C$8</f>
        <v>Currency: EUR   |   Claim ref: CLAIM-EOT-007</v>
      </c>
    </row>
    <row r="3" spans="1:14" x14ac:dyDescent="0.2">
      <c r="A3" s="4" t="s">
        <v>142</v>
      </c>
    </row>
    <row r="5" spans="1:14" ht="42" customHeight="1" x14ac:dyDescent="0.2">
      <c r="A5" s="20" t="s">
        <v>111</v>
      </c>
      <c r="B5" s="20" t="s">
        <v>143</v>
      </c>
      <c r="C5" s="20" t="s">
        <v>144</v>
      </c>
      <c r="D5" s="20" t="s">
        <v>145</v>
      </c>
      <c r="E5" s="20" t="s">
        <v>146</v>
      </c>
      <c r="F5" s="20" t="s">
        <v>147</v>
      </c>
      <c r="G5" s="20" t="s">
        <v>148</v>
      </c>
      <c r="H5" s="20" t="s">
        <v>149</v>
      </c>
      <c r="I5" s="20" t="s">
        <v>150</v>
      </c>
      <c r="J5" s="20" t="s">
        <v>151</v>
      </c>
      <c r="K5" s="20" t="s">
        <v>122</v>
      </c>
      <c r="L5" s="20" t="s">
        <v>123</v>
      </c>
      <c r="M5" s="20" t="s">
        <v>124</v>
      </c>
      <c r="N5" s="20" t="s">
        <v>152</v>
      </c>
    </row>
    <row r="6" spans="1:14" x14ac:dyDescent="0.2">
      <c r="A6" s="32">
        <v>1</v>
      </c>
      <c r="B6" s="7" t="s">
        <v>153</v>
      </c>
      <c r="C6" s="7" t="s">
        <v>154</v>
      </c>
      <c r="D6" s="34">
        <v>48000</v>
      </c>
      <c r="E6" s="38">
        <v>46387</v>
      </c>
      <c r="F6" s="38">
        <v>46402</v>
      </c>
      <c r="G6" s="36">
        <f t="shared" ref="G6:G25" si="0">IF(OR(E6="",F6=""),0,MAX(0,F6-E6))</f>
        <v>15</v>
      </c>
      <c r="H6" s="21">
        <f>IF(D6="",0,D6*G6/Inputs!$C$16)</f>
        <v>1972.6027397260275</v>
      </c>
      <c r="I6" s="34"/>
      <c r="J6" s="21">
        <f t="shared" ref="J6:J25" si="1">IF(I6&lt;&gt;"",I6,H6)</f>
        <v>1972.6027397260275</v>
      </c>
      <c r="K6" s="37">
        <v>1</v>
      </c>
      <c r="L6" s="21">
        <f t="shared" ref="L6:L25" si="2">J6*K6</f>
        <v>1972.6027397260275</v>
      </c>
      <c r="M6" s="7" t="s">
        <v>155</v>
      </c>
      <c r="N6" s="7" t="s">
        <v>130</v>
      </c>
    </row>
    <row r="7" spans="1:14" x14ac:dyDescent="0.2">
      <c r="A7" s="32">
        <v>2</v>
      </c>
      <c r="B7" s="7"/>
      <c r="C7" s="7"/>
      <c r="D7" s="34"/>
      <c r="E7" s="38"/>
      <c r="F7" s="38"/>
      <c r="G7" s="36">
        <f t="shared" si="0"/>
        <v>0</v>
      </c>
      <c r="H7" s="21">
        <f>IF(D7="",0,D7*G7/Inputs!$C$16)</f>
        <v>0</v>
      </c>
      <c r="I7" s="34"/>
      <c r="J7" s="21">
        <f t="shared" si="1"/>
        <v>0</v>
      </c>
      <c r="K7" s="37"/>
      <c r="L7" s="21">
        <f t="shared" si="2"/>
        <v>0</v>
      </c>
      <c r="M7" s="7"/>
      <c r="N7" s="7"/>
    </row>
    <row r="8" spans="1:14" x14ac:dyDescent="0.2">
      <c r="A8" s="32">
        <v>3</v>
      </c>
      <c r="B8" s="7"/>
      <c r="C8" s="7"/>
      <c r="D8" s="34"/>
      <c r="E8" s="38"/>
      <c r="F8" s="38"/>
      <c r="G8" s="36">
        <f t="shared" si="0"/>
        <v>0</v>
      </c>
      <c r="H8" s="21">
        <f>IF(D8="",0,D8*G8/Inputs!$C$16)</f>
        <v>0</v>
      </c>
      <c r="I8" s="34"/>
      <c r="J8" s="21">
        <f t="shared" si="1"/>
        <v>0</v>
      </c>
      <c r="K8" s="37"/>
      <c r="L8" s="21">
        <f t="shared" si="2"/>
        <v>0</v>
      </c>
      <c r="M8" s="7"/>
      <c r="N8" s="7"/>
    </row>
    <row r="9" spans="1:14" x14ac:dyDescent="0.2">
      <c r="A9" s="32">
        <v>4</v>
      </c>
      <c r="B9" s="7"/>
      <c r="C9" s="7"/>
      <c r="D9" s="34"/>
      <c r="E9" s="38"/>
      <c r="F9" s="38"/>
      <c r="G9" s="36">
        <f t="shared" si="0"/>
        <v>0</v>
      </c>
      <c r="H9" s="21">
        <f>IF(D9="",0,D9*G9/Inputs!$C$16)</f>
        <v>0</v>
      </c>
      <c r="I9" s="34"/>
      <c r="J9" s="21">
        <f t="shared" si="1"/>
        <v>0</v>
      </c>
      <c r="K9" s="37"/>
      <c r="L9" s="21">
        <f t="shared" si="2"/>
        <v>0</v>
      </c>
      <c r="M9" s="7"/>
      <c r="N9" s="7"/>
    </row>
    <row r="10" spans="1:14" x14ac:dyDescent="0.2">
      <c r="A10" s="32">
        <v>5</v>
      </c>
      <c r="B10" s="7"/>
      <c r="C10" s="7"/>
      <c r="D10" s="34"/>
      <c r="E10" s="38"/>
      <c r="F10" s="38"/>
      <c r="G10" s="36">
        <f t="shared" si="0"/>
        <v>0</v>
      </c>
      <c r="H10" s="21">
        <f>IF(D10="",0,D10*G10/Inputs!$C$16)</f>
        <v>0</v>
      </c>
      <c r="I10" s="34"/>
      <c r="J10" s="21">
        <f t="shared" si="1"/>
        <v>0</v>
      </c>
      <c r="K10" s="37"/>
      <c r="L10" s="21">
        <f t="shared" si="2"/>
        <v>0</v>
      </c>
      <c r="M10" s="7"/>
      <c r="N10" s="7"/>
    </row>
    <row r="11" spans="1:14" x14ac:dyDescent="0.2">
      <c r="A11" s="32">
        <v>6</v>
      </c>
      <c r="B11" s="7"/>
      <c r="C11" s="7"/>
      <c r="D11" s="34"/>
      <c r="E11" s="38"/>
      <c r="F11" s="38"/>
      <c r="G11" s="36">
        <f t="shared" si="0"/>
        <v>0</v>
      </c>
      <c r="H11" s="21">
        <f>IF(D11="",0,D11*G11/Inputs!$C$16)</f>
        <v>0</v>
      </c>
      <c r="I11" s="34"/>
      <c r="J11" s="21">
        <f t="shared" si="1"/>
        <v>0</v>
      </c>
      <c r="K11" s="37"/>
      <c r="L11" s="21">
        <f t="shared" si="2"/>
        <v>0</v>
      </c>
      <c r="M11" s="7"/>
      <c r="N11" s="7"/>
    </row>
    <row r="12" spans="1:14" x14ac:dyDescent="0.2">
      <c r="A12" s="32">
        <v>7</v>
      </c>
      <c r="B12" s="7"/>
      <c r="C12" s="7"/>
      <c r="D12" s="34"/>
      <c r="E12" s="38"/>
      <c r="F12" s="38"/>
      <c r="G12" s="36">
        <f t="shared" si="0"/>
        <v>0</v>
      </c>
      <c r="H12" s="21">
        <f>IF(D12="",0,D12*G12/Inputs!$C$16)</f>
        <v>0</v>
      </c>
      <c r="I12" s="34"/>
      <c r="J12" s="21">
        <f t="shared" si="1"/>
        <v>0</v>
      </c>
      <c r="K12" s="37"/>
      <c r="L12" s="21">
        <f t="shared" si="2"/>
        <v>0</v>
      </c>
      <c r="M12" s="7"/>
      <c r="N12" s="7"/>
    </row>
    <row r="13" spans="1:14" x14ac:dyDescent="0.2">
      <c r="A13" s="32">
        <v>8</v>
      </c>
      <c r="B13" s="7"/>
      <c r="C13" s="7"/>
      <c r="D13" s="34"/>
      <c r="E13" s="38"/>
      <c r="F13" s="38"/>
      <c r="G13" s="36">
        <f t="shared" si="0"/>
        <v>0</v>
      </c>
      <c r="H13" s="21">
        <f>IF(D13="",0,D13*G13/Inputs!$C$16)</f>
        <v>0</v>
      </c>
      <c r="I13" s="34"/>
      <c r="J13" s="21">
        <f t="shared" si="1"/>
        <v>0</v>
      </c>
      <c r="K13" s="37"/>
      <c r="L13" s="21">
        <f t="shared" si="2"/>
        <v>0</v>
      </c>
      <c r="M13" s="7"/>
      <c r="N13" s="7"/>
    </row>
    <row r="14" spans="1:14" x14ac:dyDescent="0.2">
      <c r="A14" s="32">
        <v>9</v>
      </c>
      <c r="B14" s="7"/>
      <c r="C14" s="7"/>
      <c r="D14" s="34"/>
      <c r="E14" s="38"/>
      <c r="F14" s="38"/>
      <c r="G14" s="36">
        <f t="shared" si="0"/>
        <v>0</v>
      </c>
      <c r="H14" s="21">
        <f>IF(D14="",0,D14*G14/Inputs!$C$16)</f>
        <v>0</v>
      </c>
      <c r="I14" s="34"/>
      <c r="J14" s="21">
        <f t="shared" si="1"/>
        <v>0</v>
      </c>
      <c r="K14" s="37"/>
      <c r="L14" s="21">
        <f t="shared" si="2"/>
        <v>0</v>
      </c>
      <c r="M14" s="7"/>
      <c r="N14" s="7"/>
    </row>
    <row r="15" spans="1:14" x14ac:dyDescent="0.2">
      <c r="A15" s="32">
        <v>10</v>
      </c>
      <c r="B15" s="7"/>
      <c r="C15" s="7"/>
      <c r="D15" s="34"/>
      <c r="E15" s="38"/>
      <c r="F15" s="38"/>
      <c r="G15" s="36">
        <f t="shared" si="0"/>
        <v>0</v>
      </c>
      <c r="H15" s="21">
        <f>IF(D15="",0,D15*G15/Inputs!$C$16)</f>
        <v>0</v>
      </c>
      <c r="I15" s="34"/>
      <c r="J15" s="21">
        <f t="shared" si="1"/>
        <v>0</v>
      </c>
      <c r="K15" s="37"/>
      <c r="L15" s="21">
        <f t="shared" si="2"/>
        <v>0</v>
      </c>
      <c r="M15" s="7"/>
      <c r="N15" s="7"/>
    </row>
    <row r="16" spans="1:14" x14ac:dyDescent="0.2">
      <c r="A16" s="32">
        <v>11</v>
      </c>
      <c r="B16" s="7"/>
      <c r="C16" s="7"/>
      <c r="D16" s="34"/>
      <c r="E16" s="38"/>
      <c r="F16" s="38"/>
      <c r="G16" s="36">
        <f t="shared" si="0"/>
        <v>0</v>
      </c>
      <c r="H16" s="21">
        <f>IF(D16="",0,D16*G16/Inputs!$C$16)</f>
        <v>0</v>
      </c>
      <c r="I16" s="34"/>
      <c r="J16" s="21">
        <f t="shared" si="1"/>
        <v>0</v>
      </c>
      <c r="K16" s="37"/>
      <c r="L16" s="21">
        <f t="shared" si="2"/>
        <v>0</v>
      </c>
      <c r="M16" s="7"/>
      <c r="N16" s="7"/>
    </row>
    <row r="17" spans="1:14" x14ac:dyDescent="0.2">
      <c r="A17" s="32">
        <v>12</v>
      </c>
      <c r="B17" s="7"/>
      <c r="C17" s="7"/>
      <c r="D17" s="34"/>
      <c r="E17" s="38"/>
      <c r="F17" s="38"/>
      <c r="G17" s="36">
        <f t="shared" si="0"/>
        <v>0</v>
      </c>
      <c r="H17" s="21">
        <f>IF(D17="",0,D17*G17/Inputs!$C$16)</f>
        <v>0</v>
      </c>
      <c r="I17" s="34"/>
      <c r="J17" s="21">
        <f t="shared" si="1"/>
        <v>0</v>
      </c>
      <c r="K17" s="37"/>
      <c r="L17" s="21">
        <f t="shared" si="2"/>
        <v>0</v>
      </c>
      <c r="M17" s="7"/>
      <c r="N17" s="7"/>
    </row>
    <row r="18" spans="1:14" x14ac:dyDescent="0.2">
      <c r="A18" s="32">
        <v>13</v>
      </c>
      <c r="B18" s="7"/>
      <c r="C18" s="7"/>
      <c r="D18" s="34"/>
      <c r="E18" s="38"/>
      <c r="F18" s="38"/>
      <c r="G18" s="36">
        <f t="shared" si="0"/>
        <v>0</v>
      </c>
      <c r="H18" s="21">
        <f>IF(D18="",0,D18*G18/Inputs!$C$16)</f>
        <v>0</v>
      </c>
      <c r="I18" s="34"/>
      <c r="J18" s="21">
        <f t="shared" si="1"/>
        <v>0</v>
      </c>
      <c r="K18" s="37"/>
      <c r="L18" s="21">
        <f t="shared" si="2"/>
        <v>0</v>
      </c>
      <c r="M18" s="7"/>
      <c r="N18" s="7"/>
    </row>
    <row r="19" spans="1:14" x14ac:dyDescent="0.2">
      <c r="A19" s="32">
        <v>14</v>
      </c>
      <c r="B19" s="7"/>
      <c r="C19" s="7"/>
      <c r="D19" s="34"/>
      <c r="E19" s="38"/>
      <c r="F19" s="38"/>
      <c r="G19" s="36">
        <f t="shared" si="0"/>
        <v>0</v>
      </c>
      <c r="H19" s="21">
        <f>IF(D19="",0,D19*G19/Inputs!$C$16)</f>
        <v>0</v>
      </c>
      <c r="I19" s="34"/>
      <c r="J19" s="21">
        <f t="shared" si="1"/>
        <v>0</v>
      </c>
      <c r="K19" s="37"/>
      <c r="L19" s="21">
        <f t="shared" si="2"/>
        <v>0</v>
      </c>
      <c r="M19" s="7"/>
      <c r="N19" s="7"/>
    </row>
    <row r="20" spans="1:14" x14ac:dyDescent="0.2">
      <c r="A20" s="32">
        <v>15</v>
      </c>
      <c r="B20" s="7"/>
      <c r="C20" s="7"/>
      <c r="D20" s="34"/>
      <c r="E20" s="38"/>
      <c r="F20" s="38"/>
      <c r="G20" s="36">
        <f t="shared" si="0"/>
        <v>0</v>
      </c>
      <c r="H20" s="21">
        <f>IF(D20="",0,D20*G20/Inputs!$C$16)</f>
        <v>0</v>
      </c>
      <c r="I20" s="34"/>
      <c r="J20" s="21">
        <f t="shared" si="1"/>
        <v>0</v>
      </c>
      <c r="K20" s="37"/>
      <c r="L20" s="21">
        <f t="shared" si="2"/>
        <v>0</v>
      </c>
      <c r="M20" s="7"/>
      <c r="N20" s="7"/>
    </row>
    <row r="21" spans="1:14" x14ac:dyDescent="0.2">
      <c r="A21" s="32">
        <v>16</v>
      </c>
      <c r="B21" s="7"/>
      <c r="C21" s="7"/>
      <c r="D21" s="34"/>
      <c r="E21" s="38"/>
      <c r="F21" s="38"/>
      <c r="G21" s="36">
        <f t="shared" si="0"/>
        <v>0</v>
      </c>
      <c r="H21" s="21">
        <f>IF(D21="",0,D21*G21/Inputs!$C$16)</f>
        <v>0</v>
      </c>
      <c r="I21" s="34"/>
      <c r="J21" s="21">
        <f t="shared" si="1"/>
        <v>0</v>
      </c>
      <c r="K21" s="37"/>
      <c r="L21" s="21">
        <f t="shared" si="2"/>
        <v>0</v>
      </c>
      <c r="M21" s="7"/>
      <c r="N21" s="7"/>
    </row>
    <row r="22" spans="1:14" x14ac:dyDescent="0.2">
      <c r="A22" s="32">
        <v>17</v>
      </c>
      <c r="B22" s="7"/>
      <c r="C22" s="7"/>
      <c r="D22" s="34"/>
      <c r="E22" s="38"/>
      <c r="F22" s="38"/>
      <c r="G22" s="36">
        <f t="shared" si="0"/>
        <v>0</v>
      </c>
      <c r="H22" s="21">
        <f>IF(D22="",0,D22*G22/Inputs!$C$16)</f>
        <v>0</v>
      </c>
      <c r="I22" s="34"/>
      <c r="J22" s="21">
        <f t="shared" si="1"/>
        <v>0</v>
      </c>
      <c r="K22" s="37"/>
      <c r="L22" s="21">
        <f t="shared" si="2"/>
        <v>0</v>
      </c>
      <c r="M22" s="7"/>
      <c r="N22" s="7"/>
    </row>
    <row r="23" spans="1:14" x14ac:dyDescent="0.2">
      <c r="A23" s="32">
        <v>18</v>
      </c>
      <c r="B23" s="7"/>
      <c r="C23" s="7"/>
      <c r="D23" s="34"/>
      <c r="E23" s="38"/>
      <c r="F23" s="38"/>
      <c r="G23" s="36">
        <f t="shared" si="0"/>
        <v>0</v>
      </c>
      <c r="H23" s="21">
        <f>IF(D23="",0,D23*G23/Inputs!$C$16)</f>
        <v>0</v>
      </c>
      <c r="I23" s="34"/>
      <c r="J23" s="21">
        <f t="shared" si="1"/>
        <v>0</v>
      </c>
      <c r="K23" s="37"/>
      <c r="L23" s="21">
        <f t="shared" si="2"/>
        <v>0</v>
      </c>
      <c r="M23" s="7"/>
      <c r="N23" s="7"/>
    </row>
    <row r="24" spans="1:14" x14ac:dyDescent="0.2">
      <c r="A24" s="32">
        <v>19</v>
      </c>
      <c r="B24" s="7"/>
      <c r="C24" s="7"/>
      <c r="D24" s="34"/>
      <c r="E24" s="38"/>
      <c r="F24" s="38"/>
      <c r="G24" s="36">
        <f t="shared" si="0"/>
        <v>0</v>
      </c>
      <c r="H24" s="21">
        <f>IF(D24="",0,D24*G24/Inputs!$C$16)</f>
        <v>0</v>
      </c>
      <c r="I24" s="34"/>
      <c r="J24" s="21">
        <f t="shared" si="1"/>
        <v>0</v>
      </c>
      <c r="K24" s="37"/>
      <c r="L24" s="21">
        <f t="shared" si="2"/>
        <v>0</v>
      </c>
      <c r="M24" s="7"/>
      <c r="N24" s="7"/>
    </row>
    <row r="25" spans="1:14" x14ac:dyDescent="0.2">
      <c r="A25" s="32">
        <v>20</v>
      </c>
      <c r="B25" s="7"/>
      <c r="C25" s="7"/>
      <c r="D25" s="34"/>
      <c r="E25" s="38"/>
      <c r="F25" s="38"/>
      <c r="G25" s="36">
        <f t="shared" si="0"/>
        <v>0</v>
      </c>
      <c r="H25" s="21">
        <f>IF(D25="",0,D25*G25/Inputs!$C$16)</f>
        <v>0</v>
      </c>
      <c r="I25" s="34"/>
      <c r="J25" s="21">
        <f t="shared" si="1"/>
        <v>0</v>
      </c>
      <c r="K25" s="37"/>
      <c r="L25" s="21">
        <f t="shared" si="2"/>
        <v>0</v>
      </c>
      <c r="M25" s="7"/>
      <c r="N25" s="7"/>
    </row>
    <row r="26" spans="1:14" x14ac:dyDescent="0.2">
      <c r="A26" s="39" t="s">
        <v>140</v>
      </c>
      <c r="B26" s="39"/>
      <c r="C26" s="39"/>
      <c r="D26" s="39"/>
      <c r="E26" s="39"/>
      <c r="F26" s="39"/>
      <c r="G26" s="39"/>
      <c r="H26" s="25">
        <f>SUM(H6:H25)</f>
        <v>1972.6027397260275</v>
      </c>
      <c r="I26" s="39"/>
      <c r="J26" s="25">
        <f>SUM(J6:J25)</f>
        <v>1972.6027397260275</v>
      </c>
      <c r="K26" s="39"/>
      <c r="L26" s="25">
        <f>SUM(L6:L25)</f>
        <v>1972.6027397260275</v>
      </c>
      <c r="M26" s="39"/>
      <c r="N26" s="39"/>
    </row>
  </sheetData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0000000}">
          <x14:formula1>
            <xm:f>Lists!$L$3:$L$7</xm:f>
          </x14:formula1>
          <x14:formula2>
            <xm:f>0</xm:f>
          </x14:formula2>
          <xm:sqref>B6:B25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47"/>
  <sheetViews>
    <sheetView showGridLines="0" zoomScaleNormal="100" workbookViewId="0"/>
  </sheetViews>
  <sheetFormatPr baseColWidth="10" defaultColWidth="8.6640625" defaultRowHeight="15" x14ac:dyDescent="0.2"/>
  <cols>
    <col min="1" max="1" width="5" customWidth="1"/>
    <col min="2" max="2" width="52" customWidth="1"/>
    <col min="3" max="3" width="18" customWidth="1"/>
    <col min="4" max="4" width="9" customWidth="1"/>
    <col min="5" max="5" width="14" customWidth="1"/>
    <col min="6" max="7" width="13" customWidth="1"/>
    <col min="8" max="8" width="8" customWidth="1"/>
    <col min="9" max="9" width="9" customWidth="1"/>
    <col min="10" max="10" width="15" customWidth="1"/>
    <col min="11" max="11" width="12" customWidth="1"/>
    <col min="12" max="12" width="15" customWidth="1"/>
    <col min="13" max="13" width="22" customWidth="1"/>
  </cols>
  <sheetData>
    <row r="1" spans="1:13" ht="18" x14ac:dyDescent="0.2">
      <c r="A1" s="3" t="s">
        <v>156</v>
      </c>
    </row>
    <row r="2" spans="1:13" x14ac:dyDescent="0.2">
      <c r="A2" s="4" t="str">
        <f>"Currency: "&amp;Inputs!$C$11&amp;"   |   Claim ref: "&amp;Inputs!$C$8</f>
        <v>Currency: EUR   |   Claim ref: CLAIM-EOT-007</v>
      </c>
    </row>
    <row r="3" spans="1:13" x14ac:dyDescent="0.2">
      <c r="A3" s="4" t="s">
        <v>157</v>
      </c>
    </row>
    <row r="4" spans="1:13" x14ac:dyDescent="0.2">
      <c r="B4" s="19" t="s">
        <v>158</v>
      </c>
      <c r="C4" s="1" t="s">
        <v>159</v>
      </c>
      <c r="D4" s="1"/>
      <c r="E4" s="1"/>
    </row>
    <row r="5" spans="1:13" x14ac:dyDescent="0.2">
      <c r="B5" s="19" t="s">
        <v>160</v>
      </c>
      <c r="C5" s="37">
        <v>1</v>
      </c>
    </row>
    <row r="8" spans="1:13" x14ac:dyDescent="0.2">
      <c r="A8" s="10" t="s">
        <v>161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42" customHeight="1" x14ac:dyDescent="0.2">
      <c r="A9" s="20" t="s">
        <v>111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 t="s">
        <v>118</v>
      </c>
      <c r="H9" s="20" t="s">
        <v>119</v>
      </c>
      <c r="I9" s="20" t="s">
        <v>120</v>
      </c>
      <c r="J9" s="20" t="s">
        <v>121</v>
      </c>
      <c r="K9" s="20" t="s">
        <v>122</v>
      </c>
      <c r="L9" s="20" t="s">
        <v>123</v>
      </c>
      <c r="M9" s="20" t="s">
        <v>124</v>
      </c>
    </row>
    <row r="10" spans="1:13" x14ac:dyDescent="0.2">
      <c r="A10" s="32">
        <v>1</v>
      </c>
      <c r="B10" s="7" t="s">
        <v>162</v>
      </c>
      <c r="C10" s="7" t="s">
        <v>128</v>
      </c>
      <c r="D10" s="33">
        <v>1</v>
      </c>
      <c r="E10" s="34">
        <v>400</v>
      </c>
      <c r="F10" s="35">
        <f>Inputs!$C$23</f>
        <v>46388</v>
      </c>
      <c r="G10" s="35">
        <f>Inputs!$C$24</f>
        <v>46402</v>
      </c>
      <c r="H10" s="36">
        <f t="shared" ref="H10:H19" si="0">IF(OR(F10="",G10=""),0,MAX(0,G10-F10+1))</f>
        <v>15</v>
      </c>
      <c r="I10" s="21">
        <f>IF(C10="Lump sum",1,IFERROR(H10/INDEX(Lists!$B$3:$B$6,MATCH(C10,Lists!$A$3:$A$6,0)),0))</f>
        <v>15</v>
      </c>
      <c r="J10" s="21">
        <f t="shared" ref="J10:J19" si="1">D10*E10*I10</f>
        <v>6000</v>
      </c>
      <c r="K10" s="37">
        <v>1</v>
      </c>
      <c r="L10" s="21">
        <f t="shared" ref="L10:L19" si="2">J10*K10</f>
        <v>6000</v>
      </c>
      <c r="M10" s="7" t="s">
        <v>163</v>
      </c>
    </row>
    <row r="11" spans="1:13" x14ac:dyDescent="0.2">
      <c r="A11" s="32">
        <v>2</v>
      </c>
      <c r="B11" s="7"/>
      <c r="C11" s="7"/>
      <c r="D11" s="33"/>
      <c r="E11" s="34"/>
      <c r="F11" s="38"/>
      <c r="G11" s="38"/>
      <c r="H11" s="36">
        <f t="shared" si="0"/>
        <v>0</v>
      </c>
      <c r="I11" s="21">
        <f>IF(C11="Lump sum",1,IFERROR(H11/INDEX(Lists!$B$3:$B$6,MATCH(C11,Lists!$A$3:$A$6,0)),0))</f>
        <v>0</v>
      </c>
      <c r="J11" s="21">
        <f t="shared" si="1"/>
        <v>0</v>
      </c>
      <c r="K11" s="37"/>
      <c r="L11" s="21">
        <f t="shared" si="2"/>
        <v>0</v>
      </c>
      <c r="M11" s="7"/>
    </row>
    <row r="12" spans="1:13" x14ac:dyDescent="0.2">
      <c r="A12" s="32">
        <v>3</v>
      </c>
      <c r="B12" s="7"/>
      <c r="C12" s="7"/>
      <c r="D12" s="33"/>
      <c r="E12" s="34"/>
      <c r="F12" s="38"/>
      <c r="G12" s="38"/>
      <c r="H12" s="36">
        <f t="shared" si="0"/>
        <v>0</v>
      </c>
      <c r="I12" s="21">
        <f>IF(C12="Lump sum",1,IFERROR(H12/INDEX(Lists!$B$3:$B$6,MATCH(C12,Lists!$A$3:$A$6,0)),0))</f>
        <v>0</v>
      </c>
      <c r="J12" s="21">
        <f t="shared" si="1"/>
        <v>0</v>
      </c>
      <c r="K12" s="37"/>
      <c r="L12" s="21">
        <f t="shared" si="2"/>
        <v>0</v>
      </c>
      <c r="M12" s="7"/>
    </row>
    <row r="13" spans="1:13" x14ac:dyDescent="0.2">
      <c r="A13" s="32">
        <v>4</v>
      </c>
      <c r="B13" s="7"/>
      <c r="C13" s="7"/>
      <c r="D13" s="33"/>
      <c r="E13" s="34"/>
      <c r="F13" s="38"/>
      <c r="G13" s="38"/>
      <c r="H13" s="36">
        <f t="shared" si="0"/>
        <v>0</v>
      </c>
      <c r="I13" s="21">
        <f>IF(C13="Lump sum",1,IFERROR(H13/INDEX(Lists!$B$3:$B$6,MATCH(C13,Lists!$A$3:$A$6,0)),0))</f>
        <v>0</v>
      </c>
      <c r="J13" s="21">
        <f t="shared" si="1"/>
        <v>0</v>
      </c>
      <c r="K13" s="37"/>
      <c r="L13" s="21">
        <f t="shared" si="2"/>
        <v>0</v>
      </c>
      <c r="M13" s="7"/>
    </row>
    <row r="14" spans="1:13" x14ac:dyDescent="0.2">
      <c r="A14" s="32">
        <v>5</v>
      </c>
      <c r="B14" s="7"/>
      <c r="C14" s="7"/>
      <c r="D14" s="33"/>
      <c r="E14" s="34"/>
      <c r="F14" s="38"/>
      <c r="G14" s="38"/>
      <c r="H14" s="36">
        <f t="shared" si="0"/>
        <v>0</v>
      </c>
      <c r="I14" s="21">
        <f>IF(C14="Lump sum",1,IFERROR(H14/INDEX(Lists!$B$3:$B$6,MATCH(C14,Lists!$A$3:$A$6,0)),0))</f>
        <v>0</v>
      </c>
      <c r="J14" s="21">
        <f t="shared" si="1"/>
        <v>0</v>
      </c>
      <c r="K14" s="37"/>
      <c r="L14" s="21">
        <f t="shared" si="2"/>
        <v>0</v>
      </c>
      <c r="M14" s="7"/>
    </row>
    <row r="15" spans="1:13" x14ac:dyDescent="0.2">
      <c r="A15" s="32">
        <v>6</v>
      </c>
      <c r="B15" s="7"/>
      <c r="C15" s="7"/>
      <c r="D15" s="33"/>
      <c r="E15" s="34"/>
      <c r="F15" s="38"/>
      <c r="G15" s="38"/>
      <c r="H15" s="36">
        <f t="shared" si="0"/>
        <v>0</v>
      </c>
      <c r="I15" s="21">
        <f>IF(C15="Lump sum",1,IFERROR(H15/INDEX(Lists!$B$3:$B$6,MATCH(C15,Lists!$A$3:$A$6,0)),0))</f>
        <v>0</v>
      </c>
      <c r="J15" s="21">
        <f t="shared" si="1"/>
        <v>0</v>
      </c>
      <c r="K15" s="37"/>
      <c r="L15" s="21">
        <f t="shared" si="2"/>
        <v>0</v>
      </c>
      <c r="M15" s="7"/>
    </row>
    <row r="16" spans="1:13" x14ac:dyDescent="0.2">
      <c r="A16" s="32">
        <v>7</v>
      </c>
      <c r="B16" s="7"/>
      <c r="C16" s="7"/>
      <c r="D16" s="33"/>
      <c r="E16" s="34"/>
      <c r="F16" s="38"/>
      <c r="G16" s="38"/>
      <c r="H16" s="36">
        <f t="shared" si="0"/>
        <v>0</v>
      </c>
      <c r="I16" s="21">
        <f>IF(C16="Lump sum",1,IFERROR(H16/INDEX(Lists!$B$3:$B$6,MATCH(C16,Lists!$A$3:$A$6,0)),0))</f>
        <v>0</v>
      </c>
      <c r="J16" s="21">
        <f t="shared" si="1"/>
        <v>0</v>
      </c>
      <c r="K16" s="37"/>
      <c r="L16" s="21">
        <f t="shared" si="2"/>
        <v>0</v>
      </c>
      <c r="M16" s="7"/>
    </row>
    <row r="17" spans="1:13" x14ac:dyDescent="0.2">
      <c r="A17" s="32">
        <v>8</v>
      </c>
      <c r="B17" s="7"/>
      <c r="C17" s="7"/>
      <c r="D17" s="33"/>
      <c r="E17" s="34"/>
      <c r="F17" s="38"/>
      <c r="G17" s="38"/>
      <c r="H17" s="36">
        <f t="shared" si="0"/>
        <v>0</v>
      </c>
      <c r="I17" s="21">
        <f>IF(C17="Lump sum",1,IFERROR(H17/INDEX(Lists!$B$3:$B$6,MATCH(C17,Lists!$A$3:$A$6,0)),0))</f>
        <v>0</v>
      </c>
      <c r="J17" s="21">
        <f t="shared" si="1"/>
        <v>0</v>
      </c>
      <c r="K17" s="37"/>
      <c r="L17" s="21">
        <f t="shared" si="2"/>
        <v>0</v>
      </c>
      <c r="M17" s="7"/>
    </row>
    <row r="18" spans="1:13" x14ac:dyDescent="0.2">
      <c r="A18" s="32">
        <v>9</v>
      </c>
      <c r="B18" s="7"/>
      <c r="C18" s="7"/>
      <c r="D18" s="33"/>
      <c r="E18" s="34"/>
      <c r="F18" s="38"/>
      <c r="G18" s="38"/>
      <c r="H18" s="36">
        <f t="shared" si="0"/>
        <v>0</v>
      </c>
      <c r="I18" s="21">
        <f>IF(C18="Lump sum",1,IFERROR(H18/INDEX(Lists!$B$3:$B$6,MATCH(C18,Lists!$A$3:$A$6,0)),0))</f>
        <v>0</v>
      </c>
      <c r="J18" s="21">
        <f t="shared" si="1"/>
        <v>0</v>
      </c>
      <c r="K18" s="37"/>
      <c r="L18" s="21">
        <f t="shared" si="2"/>
        <v>0</v>
      </c>
      <c r="M18" s="7"/>
    </row>
    <row r="19" spans="1:13" x14ac:dyDescent="0.2">
      <c r="A19" s="32">
        <v>10</v>
      </c>
      <c r="B19" s="7"/>
      <c r="C19" s="7"/>
      <c r="D19" s="33"/>
      <c r="E19" s="34"/>
      <c r="F19" s="38"/>
      <c r="G19" s="38"/>
      <c r="H19" s="36">
        <f t="shared" si="0"/>
        <v>0</v>
      </c>
      <c r="I19" s="21">
        <f>IF(C19="Lump sum",1,IFERROR(H19/INDEX(Lists!$B$3:$B$6,MATCH(C19,Lists!$A$3:$A$6,0)),0))</f>
        <v>0</v>
      </c>
      <c r="J19" s="21">
        <f t="shared" si="1"/>
        <v>0</v>
      </c>
      <c r="K19" s="37"/>
      <c r="L19" s="21">
        <f t="shared" si="2"/>
        <v>0</v>
      </c>
      <c r="M19" s="7"/>
    </row>
    <row r="20" spans="1:13" x14ac:dyDescent="0.2">
      <c r="A20" s="39" t="s">
        <v>140</v>
      </c>
      <c r="B20" s="39"/>
      <c r="C20" s="39"/>
      <c r="D20" s="39"/>
      <c r="E20" s="39"/>
      <c r="F20" s="39"/>
      <c r="G20" s="39"/>
      <c r="H20" s="39"/>
      <c r="I20" s="39"/>
      <c r="J20" s="25">
        <f>SUM(J10:J19)</f>
        <v>6000</v>
      </c>
      <c r="K20" s="39"/>
      <c r="L20" s="25">
        <f>SUM(L10:L19)</f>
        <v>6000</v>
      </c>
      <c r="M20" s="39"/>
    </row>
    <row r="23" spans="1:13" x14ac:dyDescent="0.2">
      <c r="A23" s="10" t="s">
        <v>164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x14ac:dyDescent="0.2">
      <c r="B24" s="6" t="s">
        <v>60</v>
      </c>
      <c r="C24" s="22">
        <f>Inputs!$C$27</f>
        <v>12000000</v>
      </c>
    </row>
    <row r="25" spans="1:13" x14ac:dyDescent="0.2">
      <c r="B25" s="6" t="s">
        <v>59</v>
      </c>
      <c r="C25" s="40">
        <f>Inputs!$C$26</f>
        <v>730</v>
      </c>
    </row>
    <row r="26" spans="1:13" x14ac:dyDescent="0.2">
      <c r="B26" s="6" t="s">
        <v>165</v>
      </c>
      <c r="C26" s="40">
        <f>Inputs!$C$25</f>
        <v>15</v>
      </c>
    </row>
    <row r="27" spans="1:13" x14ac:dyDescent="0.2">
      <c r="B27" s="19" t="s">
        <v>166</v>
      </c>
    </row>
    <row r="28" spans="1:13" x14ac:dyDescent="0.2">
      <c r="B28" s="6" t="s">
        <v>167</v>
      </c>
      <c r="C28" s="37">
        <v>0.08</v>
      </c>
      <c r="D28" s="4" t="s">
        <v>168</v>
      </c>
    </row>
    <row r="29" spans="1:13" x14ac:dyDescent="0.2">
      <c r="B29" s="6" t="s">
        <v>169</v>
      </c>
      <c r="C29" s="21">
        <f>IFERROR(C28*C24/C25*C26,0)</f>
        <v>19726.027397260274</v>
      </c>
      <c r="D29" s="4" t="s">
        <v>170</v>
      </c>
    </row>
    <row r="30" spans="1:13" x14ac:dyDescent="0.2">
      <c r="B30" s="19" t="s">
        <v>171</v>
      </c>
    </row>
    <row r="31" spans="1:13" x14ac:dyDescent="0.2">
      <c r="B31" s="6" t="s">
        <v>172</v>
      </c>
      <c r="C31" s="34">
        <v>3000000</v>
      </c>
    </row>
    <row r="32" spans="1:13" x14ac:dyDescent="0.2">
      <c r="B32" s="6" t="s">
        <v>173</v>
      </c>
      <c r="C32" s="34">
        <v>60000000</v>
      </c>
    </row>
    <row r="33" spans="1:13" x14ac:dyDescent="0.2">
      <c r="B33" s="6" t="s">
        <v>174</v>
      </c>
      <c r="C33" s="23">
        <f>IFERROR(C31/C32,0)</f>
        <v>0.05</v>
      </c>
    </row>
    <row r="34" spans="1:13" x14ac:dyDescent="0.2">
      <c r="B34" s="6" t="s">
        <v>175</v>
      </c>
      <c r="C34" s="21">
        <f>IFERROR(C33*C24/C25*C26,0)</f>
        <v>12328.767123287671</v>
      </c>
      <c r="D34" s="4" t="s">
        <v>176</v>
      </c>
    </row>
    <row r="35" spans="1:13" x14ac:dyDescent="0.2">
      <c r="B35" s="19" t="s">
        <v>177</v>
      </c>
    </row>
    <row r="36" spans="1:13" x14ac:dyDescent="0.2">
      <c r="B36" s="6" t="s">
        <v>178</v>
      </c>
      <c r="C36" s="34">
        <v>12000000</v>
      </c>
    </row>
    <row r="37" spans="1:13" x14ac:dyDescent="0.2">
      <c r="B37" s="6" t="s">
        <v>179</v>
      </c>
      <c r="C37" s="34">
        <v>60000000</v>
      </c>
    </row>
    <row r="38" spans="1:13" x14ac:dyDescent="0.2">
      <c r="B38" s="6" t="s">
        <v>180</v>
      </c>
      <c r="C38" s="21">
        <f>C31</f>
        <v>3000000</v>
      </c>
    </row>
    <row r="39" spans="1:13" x14ac:dyDescent="0.2">
      <c r="B39" s="6" t="s">
        <v>181</v>
      </c>
      <c r="C39" s="36">
        <f>C25+C26</f>
        <v>745</v>
      </c>
    </row>
    <row r="40" spans="1:13" x14ac:dyDescent="0.2">
      <c r="B40" s="6" t="s">
        <v>182</v>
      </c>
      <c r="C40" s="21">
        <f>IFERROR(C36/C37*C38,0)</f>
        <v>600000</v>
      </c>
    </row>
    <row r="41" spans="1:13" x14ac:dyDescent="0.2">
      <c r="B41" s="6" t="s">
        <v>183</v>
      </c>
      <c r="C41" s="21">
        <f>IFERROR(C40/C39,0)</f>
        <v>805.36912751677858</v>
      </c>
    </row>
    <row r="42" spans="1:13" x14ac:dyDescent="0.2">
      <c r="B42" s="6" t="s">
        <v>184</v>
      </c>
      <c r="C42" s="21">
        <f>C41*C26</f>
        <v>12080.536912751679</v>
      </c>
      <c r="D42" s="4" t="s">
        <v>185</v>
      </c>
    </row>
    <row r="44" spans="1:13" x14ac:dyDescent="0.2">
      <c r="A44" s="10" t="s">
        <v>186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x14ac:dyDescent="0.2">
      <c r="B45" s="6" t="s">
        <v>187</v>
      </c>
      <c r="C45" s="21">
        <f>IF(C4=Lists!$H$3,L20,IF(C4=Lists!$H$4,C29,IF(C4=Lists!$H$5,C34,IF(C4=Lists!$H$6,C42,0))))</f>
        <v>6000</v>
      </c>
    </row>
    <row r="46" spans="1:13" x14ac:dyDescent="0.2">
      <c r="B46" s="6" t="s">
        <v>188</v>
      </c>
      <c r="C46" s="21">
        <f>C45*C5</f>
        <v>6000</v>
      </c>
    </row>
    <row r="47" spans="1:13" x14ac:dyDescent="0.2">
      <c r="B47" s="6" t="s">
        <v>189</v>
      </c>
      <c r="C47" s="25">
        <f>IF(Inputs!$C$31="Yes",C46,0)</f>
        <v>6000</v>
      </c>
    </row>
  </sheetData>
  <mergeCells count="1">
    <mergeCell ref="C4:E4"/>
  </mergeCells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500-000000000000}">
          <x14:formula1>
            <xm:f>Lists!$H$3:$H$7</xm:f>
          </x14:formula1>
          <x14:formula2>
            <xm:f>0</xm:f>
          </x14:formula2>
          <xm:sqref>C4</xm:sqref>
        </x14:dataValidation>
        <x14:dataValidation type="list" allowBlank="1" xr:uid="{00000000-0002-0000-0500-000001000000}">
          <x14:formula1>
            <xm:f>Lists!$A$3:$A$6</xm:f>
          </x14:formula1>
          <x14:formula2>
            <xm:f>0</xm:f>
          </x14:formula2>
          <xm:sqref>C10:C19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0"/>
  <sheetViews>
    <sheetView showGridLines="0" zoomScaleNormal="100" workbookViewId="0"/>
  </sheetViews>
  <sheetFormatPr baseColWidth="10" defaultColWidth="8.6640625" defaultRowHeight="15" x14ac:dyDescent="0.2"/>
  <cols>
    <col min="1" max="1" width="5" customWidth="1"/>
    <col min="2" max="2" width="44" customWidth="1"/>
    <col min="3" max="3" width="16" customWidth="1"/>
    <col min="4" max="4" width="15" customWidth="1"/>
    <col min="5" max="5" width="16" customWidth="1"/>
    <col min="6" max="6" width="10" customWidth="1"/>
    <col min="7" max="7" width="13" customWidth="1"/>
    <col min="8" max="8" width="15" customWidth="1"/>
    <col min="9" max="9" width="12" customWidth="1"/>
    <col min="10" max="10" width="15" customWidth="1"/>
    <col min="11" max="11" width="44" customWidth="1"/>
  </cols>
  <sheetData>
    <row r="1" spans="1:11" ht="18" x14ac:dyDescent="0.2">
      <c r="A1" s="3" t="s">
        <v>190</v>
      </c>
    </row>
    <row r="2" spans="1:11" x14ac:dyDescent="0.2">
      <c r="A2" s="4" t="str">
        <f>"Currency: "&amp;Inputs!$C$11&amp;"   |   Claim ref: "&amp;Inputs!$C$8</f>
        <v>Currency: EUR   |   Claim ref: CLAIM-EOT-007</v>
      </c>
    </row>
    <row r="3" spans="1:11" x14ac:dyDescent="0.2">
      <c r="A3" s="4" t="s">
        <v>191</v>
      </c>
    </row>
    <row r="4" spans="1:11" x14ac:dyDescent="0.2">
      <c r="A4" s="10" t="s">
        <v>192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42" customHeight="1" x14ac:dyDescent="0.2">
      <c r="A5" s="20" t="s">
        <v>111</v>
      </c>
      <c r="B5" s="20" t="s">
        <v>113</v>
      </c>
      <c r="C5" s="20" t="s">
        <v>193</v>
      </c>
      <c r="D5" s="20" t="s">
        <v>194</v>
      </c>
      <c r="E5" s="20" t="s">
        <v>195</v>
      </c>
      <c r="F5" s="20" t="s">
        <v>196</v>
      </c>
      <c r="G5" s="20" t="s">
        <v>197</v>
      </c>
      <c r="H5" s="20" t="s">
        <v>198</v>
      </c>
      <c r="I5" s="20" t="s">
        <v>122</v>
      </c>
      <c r="J5" s="20" t="s">
        <v>123</v>
      </c>
      <c r="K5" s="20" t="s">
        <v>199</v>
      </c>
    </row>
    <row r="6" spans="1:11" x14ac:dyDescent="0.2">
      <c r="A6" s="32">
        <v>1</v>
      </c>
      <c r="B6" s="7" t="s">
        <v>200</v>
      </c>
      <c r="C6" s="34">
        <v>500000</v>
      </c>
      <c r="D6" s="38">
        <v>46419</v>
      </c>
      <c r="E6" s="38">
        <v>46509</v>
      </c>
      <c r="F6" s="36">
        <f>IF(OR(D6="",E6=""),0,MAX(0,E6-D6))</f>
        <v>90</v>
      </c>
      <c r="G6" s="37">
        <v>0.06</v>
      </c>
      <c r="H6" s="21">
        <f>IFERROR(C6*G6*F6/Inputs!$C$16,0)</f>
        <v>7397.2602739726026</v>
      </c>
      <c r="I6" s="37">
        <v>1</v>
      </c>
      <c r="J6" s="21">
        <f>H6*I6</f>
        <v>7397.2602739726026</v>
      </c>
      <c r="K6" s="7" t="s">
        <v>201</v>
      </c>
    </row>
    <row r="7" spans="1:11" x14ac:dyDescent="0.2">
      <c r="A7" s="32">
        <v>2</v>
      </c>
      <c r="B7" s="7"/>
      <c r="C7" s="34"/>
      <c r="D7" s="38"/>
      <c r="E7" s="38"/>
      <c r="F7" s="36">
        <f>IF(OR(D7="",E7=""),0,MAX(0,E7-D7))</f>
        <v>0</v>
      </c>
      <c r="G7" s="37"/>
      <c r="H7" s="21">
        <f>IFERROR(C7*G7*F7/Inputs!$C$16,0)</f>
        <v>0</v>
      </c>
      <c r="I7" s="37"/>
      <c r="J7" s="21">
        <f>H7*I7</f>
        <v>0</v>
      </c>
      <c r="K7" s="7"/>
    </row>
    <row r="8" spans="1:11" x14ac:dyDescent="0.2">
      <c r="A8" s="32">
        <v>3</v>
      </c>
      <c r="B8" s="7"/>
      <c r="C8" s="34"/>
      <c r="D8" s="38"/>
      <c r="E8" s="38"/>
      <c r="F8" s="36">
        <f>IF(OR(D8="",E8=""),0,MAX(0,E8-D8))</f>
        <v>0</v>
      </c>
      <c r="G8" s="37"/>
      <c r="H8" s="21">
        <f>IFERROR(C8*G8*F8/Inputs!$C$16,0)</f>
        <v>0</v>
      </c>
      <c r="I8" s="37"/>
      <c r="J8" s="21">
        <f>H8*I8</f>
        <v>0</v>
      </c>
      <c r="K8" s="7"/>
    </row>
    <row r="9" spans="1:11" x14ac:dyDescent="0.2">
      <c r="A9" s="32">
        <v>4</v>
      </c>
      <c r="B9" s="7"/>
      <c r="C9" s="34"/>
      <c r="D9" s="38"/>
      <c r="E9" s="38"/>
      <c r="F9" s="36">
        <f>IF(OR(D9="",E9=""),0,MAX(0,E9-D9))</f>
        <v>0</v>
      </c>
      <c r="G9" s="37"/>
      <c r="H9" s="21">
        <f>IFERROR(C9*G9*F9/Inputs!$C$16,0)</f>
        <v>0</v>
      </c>
      <c r="I9" s="37"/>
      <c r="J9" s="21">
        <f>H9*I9</f>
        <v>0</v>
      </c>
      <c r="K9" s="7"/>
    </row>
    <row r="10" spans="1:11" x14ac:dyDescent="0.2">
      <c r="A10" s="32">
        <v>5</v>
      </c>
      <c r="B10" s="7"/>
      <c r="C10" s="34"/>
      <c r="D10" s="38"/>
      <c r="E10" s="38"/>
      <c r="F10" s="36">
        <f>IF(OR(D10="",E10=""),0,MAX(0,E10-D10))</f>
        <v>0</v>
      </c>
      <c r="G10" s="37"/>
      <c r="H10" s="21">
        <f>IFERROR(C10*G10*F10/Inputs!$C$16,0)</f>
        <v>0</v>
      </c>
      <c r="I10" s="37"/>
      <c r="J10" s="21">
        <f>H10*I10</f>
        <v>0</v>
      </c>
      <c r="K10" s="7"/>
    </row>
    <row r="11" spans="1:11" x14ac:dyDescent="0.2">
      <c r="A11" s="39" t="s">
        <v>140</v>
      </c>
      <c r="B11" s="39"/>
      <c r="C11" s="39"/>
      <c r="D11" s="39"/>
      <c r="E11" s="39"/>
      <c r="F11" s="39"/>
      <c r="G11" s="39"/>
      <c r="H11" s="25">
        <f>SUM(H6:H10)</f>
        <v>7397.2602739726026</v>
      </c>
      <c r="I11" s="39"/>
      <c r="J11" s="25">
        <f>SUM(J6:J10)</f>
        <v>7397.2602739726026</v>
      </c>
      <c r="K11" s="39"/>
    </row>
    <row r="14" spans="1:11" x14ac:dyDescent="0.2">
      <c r="A14" s="10" t="s">
        <v>202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42" customHeight="1" x14ac:dyDescent="0.2">
      <c r="A15" s="20" t="s">
        <v>111</v>
      </c>
      <c r="B15" s="20" t="s">
        <v>113</v>
      </c>
      <c r="C15" s="20" t="s">
        <v>203</v>
      </c>
      <c r="D15" s="20" t="s">
        <v>204</v>
      </c>
      <c r="E15" s="20" t="s">
        <v>205</v>
      </c>
      <c r="F15" s="20" t="s">
        <v>206</v>
      </c>
      <c r="G15" s="20" t="s">
        <v>197</v>
      </c>
      <c r="H15" s="20" t="s">
        <v>198</v>
      </c>
      <c r="I15" s="20" t="s">
        <v>122</v>
      </c>
      <c r="J15" s="20" t="s">
        <v>123</v>
      </c>
      <c r="K15" s="20" t="s">
        <v>199</v>
      </c>
    </row>
    <row r="16" spans="1:11" x14ac:dyDescent="0.2">
      <c r="A16" s="32">
        <v>1</v>
      </c>
      <c r="B16" s="7"/>
      <c r="C16" s="34"/>
      <c r="D16" s="38"/>
      <c r="E16" s="38"/>
      <c r="F16" s="36">
        <f t="shared" ref="F16:F25" si="0">IF(OR(D16="",E16=""),0,MAX(0,E16-D16))</f>
        <v>0</v>
      </c>
      <c r="G16" s="37"/>
      <c r="H16" s="21">
        <f>IFERROR(C16*G16*F16/Inputs!$C$16,0)</f>
        <v>0</v>
      </c>
      <c r="I16" s="37"/>
      <c r="J16" s="21">
        <f t="shared" ref="J16:J25" si="1">H16*I16</f>
        <v>0</v>
      </c>
      <c r="K16" s="7"/>
    </row>
    <row r="17" spans="1:11" x14ac:dyDescent="0.2">
      <c r="A17" s="32">
        <v>2</v>
      </c>
      <c r="B17" s="7"/>
      <c r="C17" s="34"/>
      <c r="D17" s="38"/>
      <c r="E17" s="38"/>
      <c r="F17" s="36">
        <f t="shared" si="0"/>
        <v>0</v>
      </c>
      <c r="G17" s="37"/>
      <c r="H17" s="21">
        <f>IFERROR(C17*G17*F17/Inputs!$C$16,0)</f>
        <v>0</v>
      </c>
      <c r="I17" s="37"/>
      <c r="J17" s="21">
        <f t="shared" si="1"/>
        <v>0</v>
      </c>
      <c r="K17" s="7"/>
    </row>
    <row r="18" spans="1:11" x14ac:dyDescent="0.2">
      <c r="A18" s="32">
        <v>3</v>
      </c>
      <c r="B18" s="7"/>
      <c r="C18" s="34"/>
      <c r="D18" s="38"/>
      <c r="E18" s="38"/>
      <c r="F18" s="36">
        <f t="shared" si="0"/>
        <v>0</v>
      </c>
      <c r="G18" s="37"/>
      <c r="H18" s="21">
        <f>IFERROR(C18*G18*F18/Inputs!$C$16,0)</f>
        <v>0</v>
      </c>
      <c r="I18" s="37"/>
      <c r="J18" s="21">
        <f t="shared" si="1"/>
        <v>0</v>
      </c>
      <c r="K18" s="7"/>
    </row>
    <row r="19" spans="1:11" x14ac:dyDescent="0.2">
      <c r="A19" s="32">
        <v>4</v>
      </c>
      <c r="B19" s="7"/>
      <c r="C19" s="34"/>
      <c r="D19" s="38"/>
      <c r="E19" s="38"/>
      <c r="F19" s="36">
        <f t="shared" si="0"/>
        <v>0</v>
      </c>
      <c r="G19" s="37"/>
      <c r="H19" s="21">
        <f>IFERROR(C19*G19*F19/Inputs!$C$16,0)</f>
        <v>0</v>
      </c>
      <c r="I19" s="37"/>
      <c r="J19" s="21">
        <f t="shared" si="1"/>
        <v>0</v>
      </c>
      <c r="K19" s="7"/>
    </row>
    <row r="20" spans="1:11" x14ac:dyDescent="0.2">
      <c r="A20" s="32">
        <v>5</v>
      </c>
      <c r="B20" s="7"/>
      <c r="C20" s="34"/>
      <c r="D20" s="38"/>
      <c r="E20" s="38"/>
      <c r="F20" s="36">
        <f t="shared" si="0"/>
        <v>0</v>
      </c>
      <c r="G20" s="37"/>
      <c r="H20" s="21">
        <f>IFERROR(C20*G20*F20/Inputs!$C$16,0)</f>
        <v>0</v>
      </c>
      <c r="I20" s="37"/>
      <c r="J20" s="21">
        <f t="shared" si="1"/>
        <v>0</v>
      </c>
      <c r="K20" s="7"/>
    </row>
    <row r="21" spans="1:11" x14ac:dyDescent="0.2">
      <c r="A21" s="32">
        <v>6</v>
      </c>
      <c r="B21" s="7"/>
      <c r="C21" s="34"/>
      <c r="D21" s="38"/>
      <c r="E21" s="38"/>
      <c r="F21" s="36">
        <f t="shared" si="0"/>
        <v>0</v>
      </c>
      <c r="G21" s="37"/>
      <c r="H21" s="21">
        <f>IFERROR(C21*G21*F21/Inputs!$C$16,0)</f>
        <v>0</v>
      </c>
      <c r="I21" s="37"/>
      <c r="J21" s="21">
        <f t="shared" si="1"/>
        <v>0</v>
      </c>
      <c r="K21" s="7"/>
    </row>
    <row r="22" spans="1:11" x14ac:dyDescent="0.2">
      <c r="A22" s="32">
        <v>7</v>
      </c>
      <c r="B22" s="7"/>
      <c r="C22" s="34"/>
      <c r="D22" s="38"/>
      <c r="E22" s="38"/>
      <c r="F22" s="36">
        <f t="shared" si="0"/>
        <v>0</v>
      </c>
      <c r="G22" s="37"/>
      <c r="H22" s="21">
        <f>IFERROR(C22*G22*F22/Inputs!$C$16,0)</f>
        <v>0</v>
      </c>
      <c r="I22" s="37"/>
      <c r="J22" s="21">
        <f t="shared" si="1"/>
        <v>0</v>
      </c>
      <c r="K22" s="7"/>
    </row>
    <row r="23" spans="1:11" x14ac:dyDescent="0.2">
      <c r="A23" s="32">
        <v>8</v>
      </c>
      <c r="B23" s="7"/>
      <c r="C23" s="34"/>
      <c r="D23" s="38"/>
      <c r="E23" s="38"/>
      <c r="F23" s="36">
        <f t="shared" si="0"/>
        <v>0</v>
      </c>
      <c r="G23" s="37"/>
      <c r="H23" s="21">
        <f>IFERROR(C23*G23*F23/Inputs!$C$16,0)</f>
        <v>0</v>
      </c>
      <c r="I23" s="37"/>
      <c r="J23" s="21">
        <f t="shared" si="1"/>
        <v>0</v>
      </c>
      <c r="K23" s="7"/>
    </row>
    <row r="24" spans="1:11" x14ac:dyDescent="0.2">
      <c r="A24" s="32">
        <v>9</v>
      </c>
      <c r="B24" s="7"/>
      <c r="C24" s="34"/>
      <c r="D24" s="38"/>
      <c r="E24" s="38"/>
      <c r="F24" s="36">
        <f t="shared" si="0"/>
        <v>0</v>
      </c>
      <c r="G24" s="37"/>
      <c r="H24" s="21">
        <f>IFERROR(C24*G24*F24/Inputs!$C$16,0)</f>
        <v>0</v>
      </c>
      <c r="I24" s="37"/>
      <c r="J24" s="21">
        <f t="shared" si="1"/>
        <v>0</v>
      </c>
      <c r="K24" s="7"/>
    </row>
    <row r="25" spans="1:11" x14ac:dyDescent="0.2">
      <c r="A25" s="32">
        <v>10</v>
      </c>
      <c r="B25" s="7"/>
      <c r="C25" s="34"/>
      <c r="D25" s="38"/>
      <c r="E25" s="38"/>
      <c r="F25" s="36">
        <f t="shared" si="0"/>
        <v>0</v>
      </c>
      <c r="G25" s="37"/>
      <c r="H25" s="21">
        <f>IFERROR(C25*G25*F25/Inputs!$C$16,0)</f>
        <v>0</v>
      </c>
      <c r="I25" s="37"/>
      <c r="J25" s="21">
        <f t="shared" si="1"/>
        <v>0</v>
      </c>
      <c r="K25" s="7"/>
    </row>
    <row r="26" spans="1:11" x14ac:dyDescent="0.2">
      <c r="A26" s="39" t="s">
        <v>140</v>
      </c>
      <c r="B26" s="39"/>
      <c r="C26" s="39"/>
      <c r="D26" s="39"/>
      <c r="E26" s="39"/>
      <c r="F26" s="39"/>
      <c r="G26" s="39"/>
      <c r="H26" s="25">
        <f>SUM(H16:H25)</f>
        <v>0</v>
      </c>
      <c r="I26" s="39"/>
      <c r="J26" s="25">
        <f>SUM(J16:J25)</f>
        <v>0</v>
      </c>
      <c r="K26" s="39"/>
    </row>
    <row r="29" spans="1:11" x14ac:dyDescent="0.2">
      <c r="B29" s="19" t="s">
        <v>207</v>
      </c>
      <c r="J29" s="25">
        <f>J11+J26</f>
        <v>7397.2602739726026</v>
      </c>
    </row>
    <row r="30" spans="1:11" x14ac:dyDescent="0.2">
      <c r="B30" s="4" t="s">
        <v>208</v>
      </c>
    </row>
  </sheetData>
  <pageMargins left="0.75" right="0.75" top="1" bottom="1" header="0.511811023622047" footer="0.511811023622047"/>
  <pageSetup paperSize="9" fitToHeight="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5" customWidth="1"/>
    <col min="2" max="2" width="50" customWidth="1"/>
    <col min="3" max="3" width="18" customWidth="1"/>
    <col min="4" max="4" width="12" customWidth="1"/>
    <col min="5" max="5" width="16" customWidth="1"/>
    <col min="6" max="6" width="22" customWidth="1"/>
    <col min="7" max="7" width="18" customWidth="1"/>
    <col min="8" max="8" width="12" customWidth="1"/>
    <col min="9" max="9" width="15" customWidth="1"/>
    <col min="10" max="10" width="24" customWidth="1"/>
    <col min="11" max="11" width="30" customWidth="1"/>
  </cols>
  <sheetData>
    <row r="1" spans="1:11" ht="18" x14ac:dyDescent="0.2">
      <c r="A1" s="3" t="s">
        <v>209</v>
      </c>
    </row>
    <row r="2" spans="1:11" x14ac:dyDescent="0.2">
      <c r="A2" s="4" t="str">
        <f>"Currency: "&amp;Inputs!$C$11&amp;"   |   Claim ref: "&amp;Inputs!$C$8</f>
        <v>Currency: EUR   |   Claim ref: CLAIM-EOT-007</v>
      </c>
    </row>
    <row r="3" spans="1:11" x14ac:dyDescent="0.2">
      <c r="A3" s="4" t="s">
        <v>210</v>
      </c>
    </row>
    <row r="5" spans="1:11" ht="42" customHeight="1" x14ac:dyDescent="0.2">
      <c r="A5" s="20" t="s">
        <v>111</v>
      </c>
      <c r="B5" s="20" t="s">
        <v>211</v>
      </c>
      <c r="C5" s="20" t="s">
        <v>212</v>
      </c>
      <c r="D5" s="20" t="s">
        <v>213</v>
      </c>
      <c r="E5" s="20" t="s">
        <v>214</v>
      </c>
      <c r="F5" s="20" t="s">
        <v>215</v>
      </c>
      <c r="G5" s="20" t="s">
        <v>216</v>
      </c>
      <c r="H5" s="20" t="s">
        <v>122</v>
      </c>
      <c r="I5" s="20" t="s">
        <v>123</v>
      </c>
      <c r="J5" s="20" t="s">
        <v>124</v>
      </c>
      <c r="K5" s="20" t="s">
        <v>152</v>
      </c>
    </row>
    <row r="6" spans="1:11" x14ac:dyDescent="0.2">
      <c r="A6" s="32">
        <v>1</v>
      </c>
      <c r="B6" s="7" t="s">
        <v>217</v>
      </c>
      <c r="C6" s="34">
        <v>150000</v>
      </c>
      <c r="D6" s="37">
        <v>0.02</v>
      </c>
      <c r="E6" s="21">
        <f t="shared" ref="E6:E20" si="0">C6*D6</f>
        <v>3000</v>
      </c>
      <c r="F6" s="34">
        <v>0</v>
      </c>
      <c r="G6" s="7" t="s">
        <v>218</v>
      </c>
      <c r="H6" s="37">
        <v>1</v>
      </c>
      <c r="I6" s="21">
        <f t="shared" ref="I6:I20" si="1">IF(G6="Yes",0,MAX(0,E6-F6)*H6)</f>
        <v>3000</v>
      </c>
      <c r="J6" s="7" t="s">
        <v>219</v>
      </c>
      <c r="K6" s="7"/>
    </row>
    <row r="7" spans="1:11" x14ac:dyDescent="0.2">
      <c r="A7" s="32">
        <v>2</v>
      </c>
      <c r="B7" s="7"/>
      <c r="C7" s="34"/>
      <c r="D7" s="37"/>
      <c r="E7" s="21">
        <f t="shared" si="0"/>
        <v>0</v>
      </c>
      <c r="F7" s="34"/>
      <c r="G7" s="7"/>
      <c r="H7" s="37"/>
      <c r="I7" s="21">
        <f t="shared" si="1"/>
        <v>0</v>
      </c>
      <c r="J7" s="7"/>
      <c r="K7" s="7"/>
    </row>
    <row r="8" spans="1:11" x14ac:dyDescent="0.2">
      <c r="A8" s="32">
        <v>3</v>
      </c>
      <c r="B8" s="7"/>
      <c r="C8" s="34"/>
      <c r="D8" s="37"/>
      <c r="E8" s="21">
        <f t="shared" si="0"/>
        <v>0</v>
      </c>
      <c r="F8" s="34"/>
      <c r="G8" s="7"/>
      <c r="H8" s="37"/>
      <c r="I8" s="21">
        <f t="shared" si="1"/>
        <v>0</v>
      </c>
      <c r="J8" s="7"/>
      <c r="K8" s="7"/>
    </row>
    <row r="9" spans="1:11" x14ac:dyDescent="0.2">
      <c r="A9" s="32">
        <v>4</v>
      </c>
      <c r="B9" s="7"/>
      <c r="C9" s="34"/>
      <c r="D9" s="37"/>
      <c r="E9" s="21">
        <f t="shared" si="0"/>
        <v>0</v>
      </c>
      <c r="F9" s="34"/>
      <c r="G9" s="7"/>
      <c r="H9" s="37"/>
      <c r="I9" s="21">
        <f t="shared" si="1"/>
        <v>0</v>
      </c>
      <c r="J9" s="7"/>
      <c r="K9" s="7"/>
    </row>
    <row r="10" spans="1:11" x14ac:dyDescent="0.2">
      <c r="A10" s="32">
        <v>5</v>
      </c>
      <c r="B10" s="7"/>
      <c r="C10" s="34"/>
      <c r="D10" s="37"/>
      <c r="E10" s="21">
        <f t="shared" si="0"/>
        <v>0</v>
      </c>
      <c r="F10" s="34"/>
      <c r="G10" s="7"/>
      <c r="H10" s="37"/>
      <c r="I10" s="21">
        <f t="shared" si="1"/>
        <v>0</v>
      </c>
      <c r="J10" s="7"/>
      <c r="K10" s="7"/>
    </row>
    <row r="11" spans="1:11" x14ac:dyDescent="0.2">
      <c r="A11" s="32">
        <v>6</v>
      </c>
      <c r="B11" s="7"/>
      <c r="C11" s="34"/>
      <c r="D11" s="37"/>
      <c r="E11" s="21">
        <f t="shared" si="0"/>
        <v>0</v>
      </c>
      <c r="F11" s="34"/>
      <c r="G11" s="7"/>
      <c r="H11" s="37"/>
      <c r="I11" s="21">
        <f t="shared" si="1"/>
        <v>0</v>
      </c>
      <c r="J11" s="7"/>
      <c r="K11" s="7"/>
    </row>
    <row r="12" spans="1:11" x14ac:dyDescent="0.2">
      <c r="A12" s="32">
        <v>7</v>
      </c>
      <c r="B12" s="7"/>
      <c r="C12" s="34"/>
      <c r="D12" s="37"/>
      <c r="E12" s="21">
        <f t="shared" si="0"/>
        <v>0</v>
      </c>
      <c r="F12" s="34"/>
      <c r="G12" s="7"/>
      <c r="H12" s="37"/>
      <c r="I12" s="21">
        <f t="shared" si="1"/>
        <v>0</v>
      </c>
      <c r="J12" s="7"/>
      <c r="K12" s="7"/>
    </row>
    <row r="13" spans="1:11" x14ac:dyDescent="0.2">
      <c r="A13" s="32">
        <v>8</v>
      </c>
      <c r="B13" s="7"/>
      <c r="C13" s="34"/>
      <c r="D13" s="37"/>
      <c r="E13" s="21">
        <f t="shared" si="0"/>
        <v>0</v>
      </c>
      <c r="F13" s="34"/>
      <c r="G13" s="7"/>
      <c r="H13" s="37"/>
      <c r="I13" s="21">
        <f t="shared" si="1"/>
        <v>0</v>
      </c>
      <c r="J13" s="7"/>
      <c r="K13" s="7"/>
    </row>
    <row r="14" spans="1:11" x14ac:dyDescent="0.2">
      <c r="A14" s="32">
        <v>9</v>
      </c>
      <c r="B14" s="7"/>
      <c r="C14" s="34"/>
      <c r="D14" s="37"/>
      <c r="E14" s="21">
        <f t="shared" si="0"/>
        <v>0</v>
      </c>
      <c r="F14" s="34"/>
      <c r="G14" s="7"/>
      <c r="H14" s="37"/>
      <c r="I14" s="21">
        <f t="shared" si="1"/>
        <v>0</v>
      </c>
      <c r="J14" s="7"/>
      <c r="K14" s="7"/>
    </row>
    <row r="15" spans="1:11" x14ac:dyDescent="0.2">
      <c r="A15" s="32">
        <v>10</v>
      </c>
      <c r="B15" s="7"/>
      <c r="C15" s="34"/>
      <c r="D15" s="37"/>
      <c r="E15" s="21">
        <f t="shared" si="0"/>
        <v>0</v>
      </c>
      <c r="F15" s="34"/>
      <c r="G15" s="7"/>
      <c r="H15" s="37"/>
      <c r="I15" s="21">
        <f t="shared" si="1"/>
        <v>0</v>
      </c>
      <c r="J15" s="7"/>
      <c r="K15" s="7"/>
    </row>
    <row r="16" spans="1:11" x14ac:dyDescent="0.2">
      <c r="A16" s="32">
        <v>11</v>
      </c>
      <c r="B16" s="7"/>
      <c r="C16" s="34"/>
      <c r="D16" s="37"/>
      <c r="E16" s="21">
        <f t="shared" si="0"/>
        <v>0</v>
      </c>
      <c r="F16" s="34"/>
      <c r="G16" s="7"/>
      <c r="H16" s="37"/>
      <c r="I16" s="21">
        <f t="shared" si="1"/>
        <v>0</v>
      </c>
      <c r="J16" s="7"/>
      <c r="K16" s="7"/>
    </row>
    <row r="17" spans="1:11" x14ac:dyDescent="0.2">
      <c r="A17" s="32">
        <v>12</v>
      </c>
      <c r="B17" s="7"/>
      <c r="C17" s="34"/>
      <c r="D17" s="37"/>
      <c r="E17" s="21">
        <f t="shared" si="0"/>
        <v>0</v>
      </c>
      <c r="F17" s="34"/>
      <c r="G17" s="7"/>
      <c r="H17" s="37"/>
      <c r="I17" s="21">
        <f t="shared" si="1"/>
        <v>0</v>
      </c>
      <c r="J17" s="7"/>
      <c r="K17" s="7"/>
    </row>
    <row r="18" spans="1:11" x14ac:dyDescent="0.2">
      <c r="A18" s="32">
        <v>13</v>
      </c>
      <c r="B18" s="7"/>
      <c r="C18" s="34"/>
      <c r="D18" s="37"/>
      <c r="E18" s="21">
        <f t="shared" si="0"/>
        <v>0</v>
      </c>
      <c r="F18" s="34"/>
      <c r="G18" s="7"/>
      <c r="H18" s="37"/>
      <c r="I18" s="21">
        <f t="shared" si="1"/>
        <v>0</v>
      </c>
      <c r="J18" s="7"/>
      <c r="K18" s="7"/>
    </row>
    <row r="19" spans="1:11" x14ac:dyDescent="0.2">
      <c r="A19" s="32">
        <v>14</v>
      </c>
      <c r="B19" s="7"/>
      <c r="C19" s="34"/>
      <c r="D19" s="37"/>
      <c r="E19" s="21">
        <f t="shared" si="0"/>
        <v>0</v>
      </c>
      <c r="F19" s="34"/>
      <c r="G19" s="7"/>
      <c r="H19" s="37"/>
      <c r="I19" s="21">
        <f t="shared" si="1"/>
        <v>0</v>
      </c>
      <c r="J19" s="7"/>
      <c r="K19" s="7"/>
    </row>
    <row r="20" spans="1:11" x14ac:dyDescent="0.2">
      <c r="A20" s="32">
        <v>15</v>
      </c>
      <c r="B20" s="7"/>
      <c r="C20" s="34"/>
      <c r="D20" s="37"/>
      <c r="E20" s="21">
        <f t="shared" si="0"/>
        <v>0</v>
      </c>
      <c r="F20" s="34"/>
      <c r="G20" s="7"/>
      <c r="H20" s="37"/>
      <c r="I20" s="21">
        <f t="shared" si="1"/>
        <v>0</v>
      </c>
      <c r="J20" s="7"/>
      <c r="K20" s="7"/>
    </row>
    <row r="21" spans="1:11" x14ac:dyDescent="0.2">
      <c r="A21" s="39" t="s">
        <v>140</v>
      </c>
      <c r="B21" s="39"/>
      <c r="C21" s="39"/>
      <c r="D21" s="39"/>
      <c r="E21" s="25">
        <f>SUM(E6:E20)</f>
        <v>3000</v>
      </c>
      <c r="F21" s="39"/>
      <c r="G21" s="39"/>
      <c r="H21" s="39"/>
      <c r="I21" s="25">
        <f>SUM(I6:I20)</f>
        <v>3000</v>
      </c>
      <c r="J21" s="39"/>
      <c r="K21" s="39"/>
    </row>
  </sheetData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700-000000000000}">
          <x14:formula1>
            <xm:f>Lists!$D$3:$D$4</xm:f>
          </x14:formula1>
          <x14:formula2>
            <xm:f>0</xm:f>
          </x14:formula2>
          <xm:sqref>G6:G20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1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8.6640625" defaultRowHeight="15" x14ac:dyDescent="0.2"/>
  <cols>
    <col min="1" max="1" width="5" customWidth="1"/>
    <col min="2" max="2" width="32" customWidth="1"/>
    <col min="3" max="3" width="50" customWidth="1"/>
    <col min="4" max="4" width="20" customWidth="1"/>
    <col min="5" max="5" width="16" customWidth="1"/>
    <col min="6" max="6" width="12" customWidth="1"/>
    <col min="7" max="7" width="15" customWidth="1"/>
    <col min="8" max="9" width="30" customWidth="1"/>
  </cols>
  <sheetData>
    <row r="1" spans="1:9" ht="18" x14ac:dyDescent="0.2">
      <c r="A1" s="3" t="s">
        <v>220</v>
      </c>
    </row>
    <row r="2" spans="1:9" x14ac:dyDescent="0.2">
      <c r="A2" s="4" t="str">
        <f>"Currency: "&amp;Inputs!$C$11&amp;"   |   Claim ref: "&amp;Inputs!$C$8</f>
        <v>Currency: EUR   |   Claim ref: CLAIM-EOT-007</v>
      </c>
    </row>
    <row r="3" spans="1:9" x14ac:dyDescent="0.2">
      <c r="A3" s="4" t="s">
        <v>221</v>
      </c>
    </row>
    <row r="5" spans="1:9" ht="42" customHeight="1" x14ac:dyDescent="0.2">
      <c r="A5" s="20" t="s">
        <v>111</v>
      </c>
      <c r="B5" s="20" t="s">
        <v>112</v>
      </c>
      <c r="C5" s="20" t="s">
        <v>113</v>
      </c>
      <c r="D5" s="20" t="s">
        <v>222</v>
      </c>
      <c r="E5" s="20" t="s">
        <v>223</v>
      </c>
      <c r="F5" s="20" t="s">
        <v>122</v>
      </c>
      <c r="G5" s="20" t="s">
        <v>123</v>
      </c>
      <c r="H5" s="20" t="s">
        <v>124</v>
      </c>
      <c r="I5" s="20" t="s">
        <v>152</v>
      </c>
    </row>
    <row r="6" spans="1:9" x14ac:dyDescent="0.2">
      <c r="A6" s="32">
        <v>1</v>
      </c>
      <c r="B6" s="7" t="s">
        <v>224</v>
      </c>
      <c r="C6" s="7" t="s">
        <v>225</v>
      </c>
      <c r="D6" s="34">
        <v>4500</v>
      </c>
      <c r="E6" s="7" t="s">
        <v>66</v>
      </c>
      <c r="F6" s="37">
        <v>1</v>
      </c>
      <c r="G6" s="21">
        <f t="shared" ref="G6:G30" si="0">IF(E6="Yes",D6*F6,0)</f>
        <v>4500</v>
      </c>
      <c r="H6" s="7" t="s">
        <v>226</v>
      </c>
      <c r="I6" s="7"/>
    </row>
    <row r="7" spans="1:9" x14ac:dyDescent="0.2">
      <c r="A7" s="32">
        <v>2</v>
      </c>
      <c r="B7" s="7"/>
      <c r="C7" s="7"/>
      <c r="D7" s="34"/>
      <c r="E7" s="7"/>
      <c r="F7" s="37"/>
      <c r="G7" s="21">
        <f t="shared" si="0"/>
        <v>0</v>
      </c>
      <c r="H7" s="7"/>
      <c r="I7" s="7"/>
    </row>
    <row r="8" spans="1:9" x14ac:dyDescent="0.2">
      <c r="A8" s="32">
        <v>3</v>
      </c>
      <c r="B8" s="7"/>
      <c r="C8" s="7"/>
      <c r="D8" s="34"/>
      <c r="E8" s="7"/>
      <c r="F8" s="37"/>
      <c r="G8" s="21">
        <f t="shared" si="0"/>
        <v>0</v>
      </c>
      <c r="H8" s="7"/>
      <c r="I8" s="7"/>
    </row>
    <row r="9" spans="1:9" x14ac:dyDescent="0.2">
      <c r="A9" s="32">
        <v>4</v>
      </c>
      <c r="B9" s="7"/>
      <c r="C9" s="7"/>
      <c r="D9" s="34"/>
      <c r="E9" s="7"/>
      <c r="F9" s="37"/>
      <c r="G9" s="21">
        <f t="shared" si="0"/>
        <v>0</v>
      </c>
      <c r="H9" s="7"/>
      <c r="I9" s="7"/>
    </row>
    <row r="10" spans="1:9" x14ac:dyDescent="0.2">
      <c r="A10" s="32">
        <v>5</v>
      </c>
      <c r="B10" s="7"/>
      <c r="C10" s="7"/>
      <c r="D10" s="34"/>
      <c r="E10" s="7"/>
      <c r="F10" s="37"/>
      <c r="G10" s="21">
        <f t="shared" si="0"/>
        <v>0</v>
      </c>
      <c r="H10" s="7"/>
      <c r="I10" s="7"/>
    </row>
    <row r="11" spans="1:9" x14ac:dyDescent="0.2">
      <c r="A11" s="32">
        <v>6</v>
      </c>
      <c r="B11" s="7"/>
      <c r="C11" s="7"/>
      <c r="D11" s="34"/>
      <c r="E11" s="7"/>
      <c r="F11" s="37"/>
      <c r="G11" s="21">
        <f t="shared" si="0"/>
        <v>0</v>
      </c>
      <c r="H11" s="7"/>
      <c r="I11" s="7"/>
    </row>
    <row r="12" spans="1:9" x14ac:dyDescent="0.2">
      <c r="A12" s="32">
        <v>7</v>
      </c>
      <c r="B12" s="7"/>
      <c r="C12" s="7"/>
      <c r="D12" s="34"/>
      <c r="E12" s="7"/>
      <c r="F12" s="37"/>
      <c r="G12" s="21">
        <f t="shared" si="0"/>
        <v>0</v>
      </c>
      <c r="H12" s="7"/>
      <c r="I12" s="7"/>
    </row>
    <row r="13" spans="1:9" x14ac:dyDescent="0.2">
      <c r="A13" s="32">
        <v>8</v>
      </c>
      <c r="B13" s="7"/>
      <c r="C13" s="7"/>
      <c r="D13" s="34"/>
      <c r="E13" s="7"/>
      <c r="F13" s="37"/>
      <c r="G13" s="21">
        <f t="shared" si="0"/>
        <v>0</v>
      </c>
      <c r="H13" s="7"/>
      <c r="I13" s="7"/>
    </row>
    <row r="14" spans="1:9" x14ac:dyDescent="0.2">
      <c r="A14" s="32">
        <v>9</v>
      </c>
      <c r="B14" s="7"/>
      <c r="C14" s="7"/>
      <c r="D14" s="34"/>
      <c r="E14" s="7"/>
      <c r="F14" s="37"/>
      <c r="G14" s="21">
        <f t="shared" si="0"/>
        <v>0</v>
      </c>
      <c r="H14" s="7"/>
      <c r="I14" s="7"/>
    </row>
    <row r="15" spans="1:9" x14ac:dyDescent="0.2">
      <c r="A15" s="32">
        <v>10</v>
      </c>
      <c r="B15" s="7"/>
      <c r="C15" s="7"/>
      <c r="D15" s="34"/>
      <c r="E15" s="7"/>
      <c r="F15" s="37"/>
      <c r="G15" s="21">
        <f t="shared" si="0"/>
        <v>0</v>
      </c>
      <c r="H15" s="7"/>
      <c r="I15" s="7"/>
    </row>
    <row r="16" spans="1:9" x14ac:dyDescent="0.2">
      <c r="A16" s="32">
        <v>11</v>
      </c>
      <c r="B16" s="7"/>
      <c r="C16" s="7"/>
      <c r="D16" s="34"/>
      <c r="E16" s="7"/>
      <c r="F16" s="37"/>
      <c r="G16" s="21">
        <f t="shared" si="0"/>
        <v>0</v>
      </c>
      <c r="H16" s="7"/>
      <c r="I16" s="7"/>
    </row>
    <row r="17" spans="1:9" x14ac:dyDescent="0.2">
      <c r="A17" s="32">
        <v>12</v>
      </c>
      <c r="B17" s="7"/>
      <c r="C17" s="7"/>
      <c r="D17" s="34"/>
      <c r="E17" s="7"/>
      <c r="F17" s="37"/>
      <c r="G17" s="21">
        <f t="shared" si="0"/>
        <v>0</v>
      </c>
      <c r="H17" s="7"/>
      <c r="I17" s="7"/>
    </row>
    <row r="18" spans="1:9" x14ac:dyDescent="0.2">
      <c r="A18" s="32">
        <v>13</v>
      </c>
      <c r="B18" s="7"/>
      <c r="C18" s="7"/>
      <c r="D18" s="34"/>
      <c r="E18" s="7"/>
      <c r="F18" s="37"/>
      <c r="G18" s="21">
        <f t="shared" si="0"/>
        <v>0</v>
      </c>
      <c r="H18" s="7"/>
      <c r="I18" s="7"/>
    </row>
    <row r="19" spans="1:9" x14ac:dyDescent="0.2">
      <c r="A19" s="32">
        <v>14</v>
      </c>
      <c r="B19" s="7"/>
      <c r="C19" s="7"/>
      <c r="D19" s="34"/>
      <c r="E19" s="7"/>
      <c r="F19" s="37"/>
      <c r="G19" s="21">
        <f t="shared" si="0"/>
        <v>0</v>
      </c>
      <c r="H19" s="7"/>
      <c r="I19" s="7"/>
    </row>
    <row r="20" spans="1:9" x14ac:dyDescent="0.2">
      <c r="A20" s="32">
        <v>15</v>
      </c>
      <c r="B20" s="7"/>
      <c r="C20" s="7"/>
      <c r="D20" s="34"/>
      <c r="E20" s="7"/>
      <c r="F20" s="37"/>
      <c r="G20" s="21">
        <f t="shared" si="0"/>
        <v>0</v>
      </c>
      <c r="H20" s="7"/>
      <c r="I20" s="7"/>
    </row>
    <row r="21" spans="1:9" x14ac:dyDescent="0.2">
      <c r="A21" s="32">
        <v>16</v>
      </c>
      <c r="B21" s="7"/>
      <c r="C21" s="7"/>
      <c r="D21" s="34"/>
      <c r="E21" s="7"/>
      <c r="F21" s="37"/>
      <c r="G21" s="21">
        <f t="shared" si="0"/>
        <v>0</v>
      </c>
      <c r="H21" s="7"/>
      <c r="I21" s="7"/>
    </row>
    <row r="22" spans="1:9" x14ac:dyDescent="0.2">
      <c r="A22" s="32">
        <v>17</v>
      </c>
      <c r="B22" s="7"/>
      <c r="C22" s="7"/>
      <c r="D22" s="34"/>
      <c r="E22" s="7"/>
      <c r="F22" s="37"/>
      <c r="G22" s="21">
        <f t="shared" si="0"/>
        <v>0</v>
      </c>
      <c r="H22" s="7"/>
      <c r="I22" s="7"/>
    </row>
    <row r="23" spans="1:9" x14ac:dyDescent="0.2">
      <c r="A23" s="32">
        <v>18</v>
      </c>
      <c r="B23" s="7"/>
      <c r="C23" s="7"/>
      <c r="D23" s="34"/>
      <c r="E23" s="7"/>
      <c r="F23" s="37"/>
      <c r="G23" s="21">
        <f t="shared" si="0"/>
        <v>0</v>
      </c>
      <c r="H23" s="7"/>
      <c r="I23" s="7"/>
    </row>
    <row r="24" spans="1:9" x14ac:dyDescent="0.2">
      <c r="A24" s="32">
        <v>19</v>
      </c>
      <c r="B24" s="7"/>
      <c r="C24" s="7"/>
      <c r="D24" s="34"/>
      <c r="E24" s="7"/>
      <c r="F24" s="37"/>
      <c r="G24" s="21">
        <f t="shared" si="0"/>
        <v>0</v>
      </c>
      <c r="H24" s="7"/>
      <c r="I24" s="7"/>
    </row>
    <row r="25" spans="1:9" x14ac:dyDescent="0.2">
      <c r="A25" s="32">
        <v>20</v>
      </c>
      <c r="B25" s="7"/>
      <c r="C25" s="7"/>
      <c r="D25" s="34"/>
      <c r="E25" s="7"/>
      <c r="F25" s="37"/>
      <c r="G25" s="21">
        <f t="shared" si="0"/>
        <v>0</v>
      </c>
      <c r="H25" s="7"/>
      <c r="I25" s="7"/>
    </row>
    <row r="26" spans="1:9" x14ac:dyDescent="0.2">
      <c r="A26" s="32">
        <v>21</v>
      </c>
      <c r="B26" s="7"/>
      <c r="C26" s="7"/>
      <c r="D26" s="34"/>
      <c r="E26" s="7"/>
      <c r="F26" s="37"/>
      <c r="G26" s="21">
        <f t="shared" si="0"/>
        <v>0</v>
      </c>
      <c r="H26" s="7"/>
      <c r="I26" s="7"/>
    </row>
    <row r="27" spans="1:9" x14ac:dyDescent="0.2">
      <c r="A27" s="32">
        <v>22</v>
      </c>
      <c r="B27" s="7"/>
      <c r="C27" s="7"/>
      <c r="D27" s="34"/>
      <c r="E27" s="7"/>
      <c r="F27" s="37"/>
      <c r="G27" s="21">
        <f t="shared" si="0"/>
        <v>0</v>
      </c>
      <c r="H27" s="7"/>
      <c r="I27" s="7"/>
    </row>
    <row r="28" spans="1:9" x14ac:dyDescent="0.2">
      <c r="A28" s="32">
        <v>23</v>
      </c>
      <c r="B28" s="7"/>
      <c r="C28" s="7"/>
      <c r="D28" s="34"/>
      <c r="E28" s="7"/>
      <c r="F28" s="37"/>
      <c r="G28" s="21">
        <f t="shared" si="0"/>
        <v>0</v>
      </c>
      <c r="H28" s="7"/>
      <c r="I28" s="7"/>
    </row>
    <row r="29" spans="1:9" x14ac:dyDescent="0.2">
      <c r="A29" s="32">
        <v>24</v>
      </c>
      <c r="B29" s="7"/>
      <c r="C29" s="7"/>
      <c r="D29" s="34"/>
      <c r="E29" s="7"/>
      <c r="F29" s="37"/>
      <c r="G29" s="21">
        <f t="shared" si="0"/>
        <v>0</v>
      </c>
      <c r="H29" s="7"/>
      <c r="I29" s="7"/>
    </row>
    <row r="30" spans="1:9" x14ac:dyDescent="0.2">
      <c r="A30" s="32">
        <v>25</v>
      </c>
      <c r="B30" s="7"/>
      <c r="C30" s="7"/>
      <c r="D30" s="34"/>
      <c r="E30" s="7"/>
      <c r="F30" s="37"/>
      <c r="G30" s="21">
        <f t="shared" si="0"/>
        <v>0</v>
      </c>
      <c r="H30" s="7"/>
      <c r="I30" s="7"/>
    </row>
    <row r="31" spans="1:9" x14ac:dyDescent="0.2">
      <c r="A31" s="39" t="s">
        <v>140</v>
      </c>
      <c r="B31" s="39"/>
      <c r="C31" s="39"/>
      <c r="D31" s="25">
        <f>SUM(D6:D30)</f>
        <v>4500</v>
      </c>
      <c r="E31" s="39"/>
      <c r="F31" s="39"/>
      <c r="G31" s="25">
        <f>SUM(G6:G30)</f>
        <v>4500</v>
      </c>
      <c r="H31" s="39"/>
      <c r="I31" s="39"/>
    </row>
  </sheetData>
  <pageMargins left="0.75" right="0.75" top="1" bottom="1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800-000000000000}">
          <x14:formula1>
            <xm:f>Lists!$N$3:$N$8</xm:f>
          </x14:formula1>
          <x14:formula2>
            <xm:f>0</xm:f>
          </x14:formula2>
          <xm:sqref>B6:B30</xm:sqref>
        </x14:dataValidation>
        <x14:dataValidation type="list" allowBlank="1" xr:uid="{00000000-0002-0000-0800-000001000000}">
          <x14:formula1>
            <xm:f>Lists!$D$3:$D$4</xm:f>
          </x14:formula1>
          <x14:formula2>
            <xm:f>0</xm:f>
          </x14:formula2>
          <xm:sqref>E6:E30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33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70" customWidth="1"/>
    <col min="3" max="3" width="30" customWidth="1"/>
    <col min="4" max="4" width="60" customWidth="1"/>
  </cols>
  <sheetData>
    <row r="1" spans="1:4" ht="18" x14ac:dyDescent="0.2">
      <c r="A1" s="3" t="s">
        <v>227</v>
      </c>
    </row>
    <row r="2" spans="1:4" x14ac:dyDescent="0.2">
      <c r="A2" s="4" t="str">
        <f>"Currency: "&amp;Inputs!$C$11&amp;"   |   Claim ref: "&amp;Inputs!$C$8</f>
        <v>Currency: EUR   |   Claim ref: CLAIM-EOT-007</v>
      </c>
    </row>
    <row r="3" spans="1:4" x14ac:dyDescent="0.2">
      <c r="A3" s="4" t="s">
        <v>228</v>
      </c>
    </row>
    <row r="4" spans="1:4" x14ac:dyDescent="0.2">
      <c r="B4" s="10" t="s">
        <v>229</v>
      </c>
      <c r="C4" s="11"/>
      <c r="D4" s="11"/>
    </row>
    <row r="5" spans="1:4" x14ac:dyDescent="0.2">
      <c r="B5" s="6" t="s">
        <v>230</v>
      </c>
      <c r="C5" s="15">
        <v>46183</v>
      </c>
    </row>
    <row r="6" spans="1:4" x14ac:dyDescent="0.2">
      <c r="B6" s="6" t="s">
        <v>231</v>
      </c>
      <c r="C6" s="15">
        <v>46198</v>
      </c>
    </row>
    <row r="7" spans="1:4" x14ac:dyDescent="0.2">
      <c r="B7" s="6" t="s">
        <v>232</v>
      </c>
      <c r="C7" s="17">
        <f>IF(OR(C5="",C6=""),"",C6-C5)</f>
        <v>15</v>
      </c>
    </row>
    <row r="8" spans="1:4" x14ac:dyDescent="0.2">
      <c r="B8" s="6" t="s">
        <v>233</v>
      </c>
      <c r="C8" s="14">
        <v>28</v>
      </c>
    </row>
    <row r="9" spans="1:4" x14ac:dyDescent="0.2">
      <c r="B9" s="6" t="s">
        <v>234</v>
      </c>
      <c r="C9" s="41" t="str">
        <f>IF(C7="","Enter dates",IF(C7&lt;=C8,"Within time","LATE"))</f>
        <v>Within time</v>
      </c>
    </row>
    <row r="10" spans="1:4" x14ac:dyDescent="0.2">
      <c r="B10" s="6" t="s">
        <v>235</v>
      </c>
      <c r="C10" s="15">
        <v>46254</v>
      </c>
    </row>
    <row r="11" spans="1:4" x14ac:dyDescent="0.2">
      <c r="B11" s="6" t="s">
        <v>236</v>
      </c>
      <c r="C11" s="17">
        <f>IF(OR(C5="",C10=""),"",C10-C5)</f>
        <v>71</v>
      </c>
    </row>
    <row r="12" spans="1:4" x14ac:dyDescent="0.2">
      <c r="B12" s="6" t="s">
        <v>237</v>
      </c>
      <c r="C12" s="14">
        <v>84</v>
      </c>
      <c r="D12" s="4" t="s">
        <v>238</v>
      </c>
    </row>
    <row r="13" spans="1:4" x14ac:dyDescent="0.2">
      <c r="B13" s="6" t="s">
        <v>239</v>
      </c>
      <c r="C13" s="41" t="str">
        <f>IF(C11="","Enter dates",IF(C11&lt;=C12,"Within time","LATE"))</f>
        <v>Within time</v>
      </c>
    </row>
    <row r="14" spans="1:4" x14ac:dyDescent="0.2">
      <c r="B14" s="6" t="s">
        <v>240</v>
      </c>
      <c r="C14" s="42" t="str">
        <f>IF(AND(C9="Within time",C13="Within time"),"Procedural timing OK","REVIEW – possible time-bar risk")</f>
        <v>Procedural timing OK</v>
      </c>
    </row>
    <row r="16" spans="1:4" x14ac:dyDescent="0.2">
      <c r="B16" s="10" t="s">
        <v>241</v>
      </c>
      <c r="C16" s="11"/>
      <c r="D16" s="11"/>
    </row>
    <row r="17" spans="2:4" ht="42" customHeight="1" x14ac:dyDescent="0.2">
      <c r="B17" s="20" t="s">
        <v>242</v>
      </c>
      <c r="C17" s="20" t="s">
        <v>243</v>
      </c>
      <c r="D17" s="20" t="s">
        <v>244</v>
      </c>
    </row>
    <row r="18" spans="2:4" x14ac:dyDescent="0.2">
      <c r="B18" s="43" t="s">
        <v>245</v>
      </c>
      <c r="C18" s="44" t="s">
        <v>66</v>
      </c>
      <c r="D18" s="7"/>
    </row>
    <row r="19" spans="2:4" x14ac:dyDescent="0.2">
      <c r="B19" s="43" t="s">
        <v>246</v>
      </c>
      <c r="C19" s="44" t="s">
        <v>66</v>
      </c>
      <c r="D19" s="7"/>
    </row>
    <row r="20" spans="2:4" x14ac:dyDescent="0.2">
      <c r="B20" s="43" t="s">
        <v>247</v>
      </c>
      <c r="C20" s="44" t="s">
        <v>66</v>
      </c>
      <c r="D20" s="7"/>
    </row>
    <row r="21" spans="2:4" x14ac:dyDescent="0.2">
      <c r="B21" s="43" t="s">
        <v>248</v>
      </c>
      <c r="C21" s="44" t="s">
        <v>66</v>
      </c>
      <c r="D21" s="7"/>
    </row>
    <row r="22" spans="2:4" x14ac:dyDescent="0.2">
      <c r="B22" s="43" t="s">
        <v>249</v>
      </c>
      <c r="C22" s="44" t="s">
        <v>218</v>
      </c>
      <c r="D22" s="7"/>
    </row>
    <row r="23" spans="2:4" x14ac:dyDescent="0.2">
      <c r="B23" s="43" t="s">
        <v>250</v>
      </c>
      <c r="C23" s="44" t="s">
        <v>66</v>
      </c>
      <c r="D23" s="7"/>
    </row>
    <row r="24" spans="2:4" x14ac:dyDescent="0.2">
      <c r="B24" s="43" t="s">
        <v>251</v>
      </c>
      <c r="C24" s="44" t="s">
        <v>66</v>
      </c>
      <c r="D24" s="7"/>
    </row>
    <row r="25" spans="2:4" x14ac:dyDescent="0.2">
      <c r="B25" s="43" t="s">
        <v>252</v>
      </c>
      <c r="C25" s="44" t="s">
        <v>66</v>
      </c>
      <c r="D25" s="7"/>
    </row>
    <row r="26" spans="2:4" x14ac:dyDescent="0.2">
      <c r="B26" s="43" t="s">
        <v>253</v>
      </c>
      <c r="C26" s="44" t="s">
        <v>218</v>
      </c>
      <c r="D26" s="7"/>
    </row>
    <row r="27" spans="2:4" x14ac:dyDescent="0.2">
      <c r="B27" s="43" t="s">
        <v>254</v>
      </c>
      <c r="C27" s="44" t="s">
        <v>218</v>
      </c>
      <c r="D27" s="7"/>
    </row>
    <row r="28" spans="2:4" x14ac:dyDescent="0.2">
      <c r="B28" s="43" t="s">
        <v>255</v>
      </c>
      <c r="C28" s="44" t="s">
        <v>256</v>
      </c>
      <c r="D28" s="7"/>
    </row>
    <row r="29" spans="2:4" x14ac:dyDescent="0.2">
      <c r="B29" s="43" t="s">
        <v>257</v>
      </c>
      <c r="C29" s="44" t="s">
        <v>218</v>
      </c>
      <c r="D29" s="7"/>
    </row>
    <row r="30" spans="2:4" x14ac:dyDescent="0.2">
      <c r="B30" s="43" t="s">
        <v>258</v>
      </c>
      <c r="C30" s="44" t="s">
        <v>218</v>
      </c>
      <c r="D30" s="7"/>
    </row>
    <row r="31" spans="2:4" x14ac:dyDescent="0.2">
      <c r="B31" s="43" t="s">
        <v>259</v>
      </c>
      <c r="C31" s="44" t="s">
        <v>256</v>
      </c>
      <c r="D31" s="7"/>
    </row>
    <row r="33" spans="2:3" x14ac:dyDescent="0.2">
      <c r="B33" s="6" t="s">
        <v>260</v>
      </c>
      <c r="C33" s="45">
        <f>IFERROR(COUNTIF(C18:C31,"Yes")/(COUNTA(C18:C31)-COUNTIF(C18:C31,"N/A")),0)</f>
        <v>0.58333333333333337</v>
      </c>
    </row>
  </sheetData>
  <conditionalFormatting sqref="C9">
    <cfRule type="expression" dxfId="5" priority="2">
      <formula>C9="LATE"</formula>
    </cfRule>
    <cfRule type="expression" dxfId="4" priority="3">
      <formula>C9="Within time"</formula>
    </cfRule>
  </conditionalFormatting>
  <conditionalFormatting sqref="C13">
    <cfRule type="expression" dxfId="3" priority="4">
      <formula>C13="LATE"</formula>
    </cfRule>
    <cfRule type="expression" dxfId="2" priority="5">
      <formula>C13="Within time"</formula>
    </cfRule>
  </conditionalFormatting>
  <conditionalFormatting sqref="C14">
    <cfRule type="expression" dxfId="1" priority="6">
      <formula>LEFT(C14,6)="REVIEW"</formula>
    </cfRule>
    <cfRule type="expression" dxfId="0" priority="7">
      <formula>C14="Procedural timing OK"</formula>
    </cfRule>
  </conditionalFormatting>
  <pageMargins left="0.75" right="0.75" top="1" bottom="1" header="0.511811023622047" footer="0.511811023622047"/>
  <pageSetup paperSize="9"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900-000000000000}">
          <x14:formula1>
            <xm:f>Lists!$P$3:$P$5</xm:f>
          </x14:formula1>
          <x14:formula2>
            <xm:f>0</xm:f>
          </x14:formula2>
          <xm:sqref>C18:C31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9"/>
  <sheetViews>
    <sheetView showGridLines="0" zoomScaleNormal="100" workbookViewId="0"/>
  </sheetViews>
  <sheetFormatPr baseColWidth="10" defaultColWidth="8.6640625" defaultRowHeight="15" x14ac:dyDescent="0.2"/>
  <cols>
    <col min="1" max="2" width="16" customWidth="1"/>
    <col min="3" max="3" width="3" customWidth="1"/>
    <col min="4" max="4" width="12" customWidth="1"/>
    <col min="5" max="5" width="3" customWidth="1"/>
    <col min="6" max="6" width="20" customWidth="1"/>
    <col min="7" max="7" width="3" customWidth="1"/>
    <col min="8" max="8" width="30" customWidth="1"/>
    <col min="9" max="9" width="3" customWidth="1"/>
    <col min="10" max="10" width="38" customWidth="1"/>
    <col min="11" max="11" width="3" customWidth="1"/>
    <col min="12" max="12" width="32" customWidth="1"/>
    <col min="13" max="13" width="3" customWidth="1"/>
    <col min="14" max="14" width="36" customWidth="1"/>
    <col min="15" max="15" width="3" customWidth="1"/>
    <col min="16" max="16" width="16" customWidth="1"/>
  </cols>
  <sheetData>
    <row r="1" spans="1:16" ht="18" x14ac:dyDescent="0.2">
      <c r="A1" s="3" t="s">
        <v>261</v>
      </c>
    </row>
    <row r="2" spans="1:16" ht="42" customHeight="1" x14ac:dyDescent="0.2">
      <c r="A2" s="20" t="s">
        <v>114</v>
      </c>
      <c r="B2" s="20" t="s">
        <v>262</v>
      </c>
      <c r="D2" s="20" t="s">
        <v>263</v>
      </c>
      <c r="F2" s="20" t="s">
        <v>42</v>
      </c>
      <c r="H2" s="20" t="s">
        <v>264</v>
      </c>
      <c r="J2" s="20" t="s">
        <v>265</v>
      </c>
      <c r="L2" s="20" t="s">
        <v>266</v>
      </c>
      <c r="N2" s="20" t="s">
        <v>267</v>
      </c>
      <c r="P2" s="20" t="s">
        <v>268</v>
      </c>
    </row>
    <row r="3" spans="1:16" x14ac:dyDescent="0.2">
      <c r="A3" s="7" t="s">
        <v>128</v>
      </c>
      <c r="B3" s="34">
        <v>1</v>
      </c>
      <c r="D3" s="7" t="s">
        <v>66</v>
      </c>
      <c r="F3" s="7" t="s">
        <v>269</v>
      </c>
      <c r="H3" s="7" t="s">
        <v>159</v>
      </c>
      <c r="J3" s="7" t="s">
        <v>131</v>
      </c>
      <c r="L3" s="7" t="s">
        <v>270</v>
      </c>
      <c r="N3" s="7" t="s">
        <v>224</v>
      </c>
      <c r="P3" s="7" t="s">
        <v>66</v>
      </c>
    </row>
    <row r="4" spans="1:16" x14ac:dyDescent="0.2">
      <c r="A4" s="7" t="s">
        <v>271</v>
      </c>
      <c r="B4" s="34">
        <v>7</v>
      </c>
      <c r="D4" s="7" t="s">
        <v>218</v>
      </c>
      <c r="F4" s="7" t="s">
        <v>43</v>
      </c>
      <c r="H4" s="7" t="s">
        <v>166</v>
      </c>
      <c r="J4" s="7" t="s">
        <v>126</v>
      </c>
      <c r="L4" s="7" t="s">
        <v>153</v>
      </c>
      <c r="N4" s="7" t="s">
        <v>272</v>
      </c>
      <c r="P4" s="7" t="s">
        <v>218</v>
      </c>
    </row>
    <row r="5" spans="1:16" x14ac:dyDescent="0.2">
      <c r="A5" s="7" t="s">
        <v>273</v>
      </c>
      <c r="B5" s="22">
        <f>Inputs!$C$16/12</f>
        <v>30.416666666666668</v>
      </c>
      <c r="F5" s="7" t="s">
        <v>274</v>
      </c>
      <c r="H5" s="7" t="s">
        <v>171</v>
      </c>
      <c r="J5" s="7" t="s">
        <v>134</v>
      </c>
      <c r="L5" s="7" t="s">
        <v>275</v>
      </c>
      <c r="N5" s="7" t="s">
        <v>276</v>
      </c>
      <c r="P5" s="7" t="s">
        <v>256</v>
      </c>
    </row>
    <row r="6" spans="1:16" x14ac:dyDescent="0.2">
      <c r="A6" s="7" t="s">
        <v>277</v>
      </c>
      <c r="B6" s="34">
        <v>1</v>
      </c>
      <c r="H6" s="7" t="s">
        <v>177</v>
      </c>
      <c r="J6" s="7" t="s">
        <v>137</v>
      </c>
      <c r="L6" s="7" t="s">
        <v>278</v>
      </c>
      <c r="N6" s="7" t="s">
        <v>279</v>
      </c>
    </row>
    <row r="7" spans="1:16" x14ac:dyDescent="0.2">
      <c r="H7" s="7" t="s">
        <v>280</v>
      </c>
      <c r="J7" s="7" t="s">
        <v>281</v>
      </c>
      <c r="L7" s="7" t="s">
        <v>282</v>
      </c>
      <c r="N7" s="7" t="s">
        <v>283</v>
      </c>
    </row>
    <row r="8" spans="1:16" x14ac:dyDescent="0.2">
      <c r="J8" s="7" t="s">
        <v>284</v>
      </c>
      <c r="N8" s="7" t="s">
        <v>285</v>
      </c>
    </row>
    <row r="9" spans="1:16" x14ac:dyDescent="0.2">
      <c r="J9" s="7" t="s">
        <v>286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Instructions</vt:lpstr>
      <vt:lpstr>Inputs</vt:lpstr>
      <vt:lpstr>Summary</vt:lpstr>
      <vt:lpstr>Site_Costs</vt:lpstr>
      <vt:lpstr>Insurance_Bonds</vt:lpstr>
      <vt:lpstr>Head_Office</vt:lpstr>
      <vt:lpstr>Financing</vt:lpstr>
      <vt:lpstr>Escalation</vt:lpstr>
      <vt:lpstr>Other_Costs</vt:lpstr>
      <vt:lpstr>Compliance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Willem Klinker</cp:lastModifiedBy>
  <cp:revision>1</cp:revision>
  <dcterms:created xsi:type="dcterms:W3CDTF">2026-10-09T04:47:58Z</dcterms:created>
  <dcterms:modified xsi:type="dcterms:W3CDTF">2026-10-09T07:26:55Z</dcterms:modified>
  <dc:language>en-US</dc:language>
</cp:coreProperties>
</file>